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本郷弘樹\Socym Dropbox\弘樹本郷\PC\Desktop\進行中企画\発売済み\不動産投資超入門\"/>
    </mc:Choice>
  </mc:AlternateContent>
  <xr:revisionPtr revIDLastSave="0" documentId="13_ncr:1_{6308E388-8DDE-4920-8121-55B2E199C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シミュレーション " sheetId="11" r:id="rId1"/>
  </sheets>
  <definedNames>
    <definedName name="_xlnm.Print_Area" localSheetId="0">'個人シミュレーション '!$C$2:$BX$55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1" l="1"/>
  <c r="O18" i="11" s="1"/>
  <c r="E6" i="11"/>
  <c r="E17" i="11" s="1"/>
  <c r="F17" i="11" s="1"/>
  <c r="AF52" i="11"/>
  <c r="AM52" i="11" s="1"/>
  <c r="I52" i="11"/>
  <c r="X52" i="11" s="1"/>
  <c r="H52" i="11"/>
  <c r="G52" i="11"/>
  <c r="R52" i="11" s="1"/>
  <c r="E52" i="11"/>
  <c r="F52" i="11" s="1"/>
  <c r="AF51" i="11"/>
  <c r="I51" i="11"/>
  <c r="H51" i="11"/>
  <c r="G51" i="11"/>
  <c r="R51" i="11" s="1"/>
  <c r="E51" i="11"/>
  <c r="F51" i="11" s="1"/>
  <c r="AO50" i="11"/>
  <c r="AF50" i="11"/>
  <c r="AM50" i="11" s="1"/>
  <c r="AN50" i="11" s="1"/>
  <c r="I50" i="11"/>
  <c r="Y50" i="11" s="1"/>
  <c r="H50" i="11"/>
  <c r="G50" i="11"/>
  <c r="R50" i="11" s="1"/>
  <c r="E50" i="11"/>
  <c r="F50" i="11" s="1"/>
  <c r="AM49" i="11"/>
  <c r="AO49" i="11" s="1"/>
  <c r="AF49" i="11"/>
  <c r="I49" i="11"/>
  <c r="Y49" i="11" s="1"/>
  <c r="H49" i="11"/>
  <c r="G49" i="11"/>
  <c r="R49" i="11" s="1"/>
  <c r="E49" i="11"/>
  <c r="F49" i="11" s="1"/>
  <c r="AF48" i="11"/>
  <c r="AM48" i="11" s="1"/>
  <c r="AO48" i="11" s="1"/>
  <c r="I48" i="11"/>
  <c r="Y48" i="11" s="1"/>
  <c r="H48" i="11"/>
  <c r="G48" i="11"/>
  <c r="R48" i="11" s="1"/>
  <c r="E48" i="11"/>
  <c r="F48" i="11" s="1"/>
  <c r="AF47" i="11"/>
  <c r="AM47" i="11" s="1"/>
  <c r="I47" i="11"/>
  <c r="X47" i="11" s="1"/>
  <c r="H47" i="11"/>
  <c r="G47" i="11"/>
  <c r="R47" i="11" s="1"/>
  <c r="E47" i="11"/>
  <c r="F47" i="11" s="1"/>
  <c r="AM46" i="11"/>
  <c r="AO46" i="11" s="1"/>
  <c r="AF46" i="11"/>
  <c r="I46" i="11"/>
  <c r="X46" i="11" s="1"/>
  <c r="H46" i="11"/>
  <c r="G46" i="11"/>
  <c r="R46" i="11" s="1"/>
  <c r="E46" i="11"/>
  <c r="F46" i="11" s="1"/>
  <c r="AF45" i="11"/>
  <c r="I45" i="11"/>
  <c r="X45" i="11" s="1"/>
  <c r="H45" i="11"/>
  <c r="G45" i="11"/>
  <c r="R45" i="11" s="1"/>
  <c r="E45" i="11"/>
  <c r="AF44" i="11"/>
  <c r="AM44" i="11" s="1"/>
  <c r="I44" i="11"/>
  <c r="X44" i="11" s="1"/>
  <c r="H44" i="11"/>
  <c r="G44" i="11"/>
  <c r="R44" i="11" s="1"/>
  <c r="E44" i="11"/>
  <c r="F44" i="11" s="1"/>
  <c r="AN43" i="11"/>
  <c r="AM43" i="11"/>
  <c r="AO43" i="11" s="1"/>
  <c r="AF43" i="11"/>
  <c r="I43" i="11"/>
  <c r="X43" i="11" s="1"/>
  <c r="H43" i="11"/>
  <c r="G43" i="11"/>
  <c r="R43" i="11" s="1"/>
  <c r="E43" i="11"/>
  <c r="F43" i="11" s="1"/>
  <c r="AF42" i="11"/>
  <c r="AM42" i="11" s="1"/>
  <c r="AO42" i="11" s="1"/>
  <c r="AF41" i="11"/>
  <c r="AF40" i="11"/>
  <c r="AM40" i="11" s="1"/>
  <c r="AM39" i="11"/>
  <c r="AF39" i="11"/>
  <c r="BP38" i="11"/>
  <c r="BO38" i="11"/>
  <c r="AC64" i="11" s="1"/>
  <c r="AM38" i="11"/>
  <c r="AF38" i="11"/>
  <c r="AF37" i="11"/>
  <c r="AM36" i="11"/>
  <c r="AN36" i="11" s="1"/>
  <c r="AF36" i="11"/>
  <c r="AF35" i="11"/>
  <c r="AM35" i="11" s="1"/>
  <c r="AN35" i="11" s="1"/>
  <c r="AF34" i="11"/>
  <c r="AM34" i="11" s="1"/>
  <c r="AF33" i="11"/>
  <c r="AM33" i="11" s="1"/>
  <c r="AM32" i="11"/>
  <c r="AF32" i="11"/>
  <c r="AF31" i="11"/>
  <c r="AM30" i="11"/>
  <c r="AF30" i="11"/>
  <c r="AF29" i="11"/>
  <c r="AF28" i="11"/>
  <c r="AM28" i="11" s="1"/>
  <c r="AF27" i="11"/>
  <c r="AM27" i="11" s="1"/>
  <c r="AM26" i="11"/>
  <c r="AF26" i="11"/>
  <c r="AF25" i="11"/>
  <c r="AF24" i="11"/>
  <c r="AM24" i="11" s="1"/>
  <c r="AF23" i="11"/>
  <c r="AM23" i="11" s="1"/>
  <c r="AF22" i="11"/>
  <c r="AT21" i="11"/>
  <c r="AF21" i="11"/>
  <c r="AM21" i="11" s="1"/>
  <c r="AO21" i="11" s="1"/>
  <c r="AT20" i="11"/>
  <c r="AF20" i="11"/>
  <c r="AM20" i="11" s="1"/>
  <c r="AT19" i="11"/>
  <c r="AF19" i="11"/>
  <c r="AM19" i="11" s="1"/>
  <c r="AT18" i="11"/>
  <c r="AM18" i="11"/>
  <c r="AT17" i="11"/>
  <c r="K17" i="11"/>
  <c r="D17" i="11"/>
  <c r="D23" i="11" s="1"/>
  <c r="AT16" i="11"/>
  <c r="BB15" i="11"/>
  <c r="Q12" i="11"/>
  <c r="Q10" i="11"/>
  <c r="Q8" i="11"/>
  <c r="Q11" i="11" s="1"/>
  <c r="E5" i="11"/>
  <c r="J4" i="11"/>
  <c r="K4" i="11" s="1"/>
  <c r="K6" i="11" s="1"/>
  <c r="E4" i="11"/>
  <c r="E10" i="11" s="1"/>
  <c r="AN40" i="11" l="1"/>
  <c r="AO40" i="11"/>
  <c r="AO27" i="11"/>
  <c r="AN27" i="11"/>
  <c r="AN34" i="11"/>
  <c r="AP34" i="11" s="1"/>
  <c r="AO34" i="11"/>
  <c r="AN44" i="11"/>
  <c r="AO44" i="11"/>
  <c r="AN20" i="11"/>
  <c r="AO20" i="11"/>
  <c r="AN42" i="11"/>
  <c r="AP42" i="11" s="1"/>
  <c r="I23" i="11"/>
  <c r="X23" i="11" s="1"/>
  <c r="AP43" i="11"/>
  <c r="AO36" i="11"/>
  <c r="AP36" i="11" s="1"/>
  <c r="O23" i="11"/>
  <c r="O22" i="11"/>
  <c r="N17" i="11"/>
  <c r="Q17" i="11" s="1"/>
  <c r="O21" i="11"/>
  <c r="BT38" i="11"/>
  <c r="BW38" i="11"/>
  <c r="AK64" i="11" s="1"/>
  <c r="BR38" i="11"/>
  <c r="BR43" i="11" s="1"/>
  <c r="BS38" i="11"/>
  <c r="AG64" i="11" s="1"/>
  <c r="BU38" i="11"/>
  <c r="AI64" i="11" s="1"/>
  <c r="X49" i="11"/>
  <c r="BX38" i="11"/>
  <c r="BX43" i="11" s="1"/>
  <c r="X48" i="11"/>
  <c r="BO43" i="11"/>
  <c r="Y52" i="11"/>
  <c r="BV38" i="11"/>
  <c r="K12" i="11"/>
  <c r="K7" i="11"/>
  <c r="AO24" i="11"/>
  <c r="AN24" i="11"/>
  <c r="AN18" i="11"/>
  <c r="AO18" i="11"/>
  <c r="AB51" i="11"/>
  <c r="AB44" i="11"/>
  <c r="AB50" i="11"/>
  <c r="AB49" i="11"/>
  <c r="AB48" i="11"/>
  <c r="AB47" i="11"/>
  <c r="AB52" i="11"/>
  <c r="AB38" i="11"/>
  <c r="AB46" i="11"/>
  <c r="AB43" i="11"/>
  <c r="AB36" i="11"/>
  <c r="AB42" i="11"/>
  <c r="AB35" i="11"/>
  <c r="AB45" i="11"/>
  <c r="AB41" i="11"/>
  <c r="AB40" i="11"/>
  <c r="AB37" i="11"/>
  <c r="AB39" i="11"/>
  <c r="AB33" i="11"/>
  <c r="AB34" i="11"/>
  <c r="AB32" i="11"/>
  <c r="AN19" i="11"/>
  <c r="AO19" i="11"/>
  <c r="AO23" i="11"/>
  <c r="AN23" i="11"/>
  <c r="AP23" i="11" s="1"/>
  <c r="D59" i="11"/>
  <c r="BC15" i="11"/>
  <c r="O20" i="11"/>
  <c r="AN21" i="11"/>
  <c r="AP21" i="11" s="1"/>
  <c r="AQ21" i="11" s="1"/>
  <c r="F45" i="11"/>
  <c r="BQ38" i="11"/>
  <c r="K18" i="11"/>
  <c r="O19" i="11"/>
  <c r="AM22" i="11"/>
  <c r="AM25" i="11"/>
  <c r="AO26" i="11"/>
  <c r="AN26" i="11"/>
  <c r="AO28" i="11"/>
  <c r="AN28" i="11"/>
  <c r="AP28" i="11" s="1"/>
  <c r="AD64" i="11"/>
  <c r="BP43" i="11"/>
  <c r="D24" i="11"/>
  <c r="AM37" i="11"/>
  <c r="O26" i="11"/>
  <c r="O25" i="11"/>
  <c r="O27" i="11"/>
  <c r="O28" i="11" s="1"/>
  <c r="AO38" i="11"/>
  <c r="AN38" i="11"/>
  <c r="D18" i="11"/>
  <c r="O24" i="11"/>
  <c r="D28" i="11"/>
  <c r="AO30" i="11"/>
  <c r="AN30" i="11"/>
  <c r="AN32" i="11"/>
  <c r="AO32" i="11"/>
  <c r="AN33" i="11"/>
  <c r="AO33" i="11"/>
  <c r="AM29" i="11"/>
  <c r="AM31" i="11"/>
  <c r="AH64" i="11"/>
  <c r="BT43" i="11"/>
  <c r="AO52" i="11"/>
  <c r="AN52" i="11"/>
  <c r="AP52" i="11" s="1"/>
  <c r="AO47" i="11"/>
  <c r="AN47" i="11"/>
  <c r="AO35" i="11"/>
  <c r="AP35" i="11" s="1"/>
  <c r="AO39" i="11"/>
  <c r="AN39" i="11"/>
  <c r="BW43" i="11"/>
  <c r="AP50" i="11"/>
  <c r="AM41" i="11"/>
  <c r="AN48" i="11"/>
  <c r="AP48" i="11" s="1"/>
  <c r="Y51" i="11"/>
  <c r="X51" i="11"/>
  <c r="AM45" i="11"/>
  <c r="AM51" i="11"/>
  <c r="X50" i="11"/>
  <c r="AN46" i="11"/>
  <c r="AP46" i="11" s="1"/>
  <c r="AN49" i="11"/>
  <c r="AP49" i="11" s="1"/>
  <c r="AP44" i="11" l="1"/>
  <c r="AP27" i="11"/>
  <c r="AP32" i="11"/>
  <c r="AF64" i="11"/>
  <c r="AP19" i="11"/>
  <c r="AQ19" i="11" s="1"/>
  <c r="AP24" i="11"/>
  <c r="AP20" i="11"/>
  <c r="AQ20" i="11" s="1"/>
  <c r="AP40" i="11"/>
  <c r="BU43" i="11"/>
  <c r="BS43" i="11"/>
  <c r="AJ64" i="11"/>
  <c r="BV43" i="11"/>
  <c r="AO51" i="11"/>
  <c r="AN51" i="11"/>
  <c r="AP47" i="11"/>
  <c r="AP30" i="11"/>
  <c r="AP38" i="11"/>
  <c r="AO37" i="11"/>
  <c r="AN37" i="11"/>
  <c r="AO45" i="11"/>
  <c r="AN45" i="11"/>
  <c r="AP45" i="11" s="1"/>
  <c r="AO41" i="11"/>
  <c r="AN41" i="11"/>
  <c r="AN31" i="11"/>
  <c r="AO31" i="11"/>
  <c r="D25" i="11"/>
  <c r="I24" i="11"/>
  <c r="X24" i="11" s="1"/>
  <c r="AN25" i="11"/>
  <c r="AO25" i="11"/>
  <c r="H18" i="11"/>
  <c r="E18" i="11" s="1"/>
  <c r="D19" i="11"/>
  <c r="I18" i="11"/>
  <c r="X18" i="11" s="1"/>
  <c r="G18" i="11"/>
  <c r="AN29" i="11"/>
  <c r="AO29" i="11"/>
  <c r="O37" i="11"/>
  <c r="O38" i="11" s="1"/>
  <c r="O36" i="11"/>
  <c r="O33" i="11"/>
  <c r="O31" i="11"/>
  <c r="O29" i="11"/>
  <c r="O34" i="11"/>
  <c r="O35" i="11"/>
  <c r="O32" i="11"/>
  <c r="O30" i="11"/>
  <c r="AO22" i="11"/>
  <c r="AN22" i="11"/>
  <c r="AP22" i="11" s="1"/>
  <c r="AQ22" i="11" s="1"/>
  <c r="AP18" i="11"/>
  <c r="AQ18" i="11" s="1"/>
  <c r="D29" i="11"/>
  <c r="I28" i="11"/>
  <c r="X28" i="11" s="1"/>
  <c r="AP39" i="11"/>
  <c r="AP33" i="11"/>
  <c r="BB16" i="11"/>
  <c r="K19" i="11"/>
  <c r="N18" i="11"/>
  <c r="Q18" i="11" s="1"/>
  <c r="E59" i="11"/>
  <c r="BD15" i="11"/>
  <c r="K10" i="11"/>
  <c r="K11" i="11"/>
  <c r="J7" i="11" s="1"/>
  <c r="AP26" i="11"/>
  <c r="AE64" i="11"/>
  <c r="BQ43" i="11"/>
  <c r="F59" i="11" l="1"/>
  <c r="BE15" i="11"/>
  <c r="AP29" i="11"/>
  <c r="R18" i="11"/>
  <c r="AP37" i="11"/>
  <c r="I19" i="11"/>
  <c r="X19" i="11" s="1"/>
  <c r="H19" i="11"/>
  <c r="E19" i="11" s="1"/>
  <c r="G19" i="11"/>
  <c r="R19" i="11" s="1"/>
  <c r="S19" i="11" s="1"/>
  <c r="D20" i="11"/>
  <c r="J10" i="11"/>
  <c r="O4" i="11" s="1"/>
  <c r="Y24" i="11" s="1"/>
  <c r="O5" i="11"/>
  <c r="BB21" i="11"/>
  <c r="BB19" i="11"/>
  <c r="F18" i="11"/>
  <c r="BB17" i="11"/>
  <c r="AP31" i="11"/>
  <c r="K20" i="11"/>
  <c r="BC16" i="11"/>
  <c r="N19" i="11"/>
  <c r="Q19" i="11" s="1"/>
  <c r="I29" i="11"/>
  <c r="X29" i="11" s="1"/>
  <c r="D30" i="11"/>
  <c r="I25" i="11"/>
  <c r="X25" i="11" s="1"/>
  <c r="D26" i="11"/>
  <c r="AP41" i="11"/>
  <c r="AK65" i="11"/>
  <c r="AC65" i="11"/>
  <c r="AJ65" i="11"/>
  <c r="AI65" i="11"/>
  <c r="AH65" i="11"/>
  <c r="AG65" i="11"/>
  <c r="AF65" i="11"/>
  <c r="AE65" i="11"/>
  <c r="AD65" i="11"/>
  <c r="K13" i="11"/>
  <c r="O47" i="11"/>
  <c r="O48" i="11" s="1"/>
  <c r="O45" i="11"/>
  <c r="O44" i="11"/>
  <c r="O46" i="11"/>
  <c r="O41" i="11"/>
  <c r="O39" i="11"/>
  <c r="O43" i="11"/>
  <c r="O42" i="11"/>
  <c r="O40" i="11"/>
  <c r="AP25" i="11"/>
  <c r="AP51" i="11"/>
  <c r="Y29" i="11" l="1"/>
  <c r="F19" i="11"/>
  <c r="BC17" i="11"/>
  <c r="D64" i="11"/>
  <c r="D65" i="11" s="1"/>
  <c r="E12" i="11" s="1"/>
  <c r="BB22" i="11"/>
  <c r="BB24" i="11" s="1"/>
  <c r="I20" i="11"/>
  <c r="X20" i="11" s="1"/>
  <c r="Y20" i="11" s="1"/>
  <c r="D21" i="11"/>
  <c r="G20" i="11"/>
  <c r="H20" i="11"/>
  <c r="E20" i="11" s="1"/>
  <c r="S18" i="11"/>
  <c r="Y46" i="11"/>
  <c r="Q4" i="11"/>
  <c r="Y23" i="11"/>
  <c r="Y43" i="11"/>
  <c r="Y44" i="11"/>
  <c r="Y47" i="11"/>
  <c r="Y45" i="11"/>
  <c r="D27" i="11"/>
  <c r="I26" i="11"/>
  <c r="X26" i="11" s="1"/>
  <c r="Y26" i="11" s="1"/>
  <c r="Y25" i="11"/>
  <c r="BC19" i="11"/>
  <c r="BC21" i="11"/>
  <c r="Y28" i="11"/>
  <c r="Y19" i="11"/>
  <c r="O52" i="11"/>
  <c r="O51" i="11"/>
  <c r="O50" i="11"/>
  <c r="O49" i="11"/>
  <c r="BD16" i="11"/>
  <c r="N20" i="11"/>
  <c r="Q20" i="11" s="1"/>
  <c r="K21" i="11"/>
  <c r="T18" i="11"/>
  <c r="Y18" i="11"/>
  <c r="T19" i="11"/>
  <c r="BB23" i="11"/>
  <c r="D31" i="11"/>
  <c r="I30" i="11"/>
  <c r="X30" i="11" s="1"/>
  <c r="Y30" i="11" s="1"/>
  <c r="G59" i="11"/>
  <c r="BF15" i="11"/>
  <c r="H59" i="11" l="1"/>
  <c r="BG15" i="11"/>
  <c r="BD21" i="11"/>
  <c r="BD19" i="11"/>
  <c r="G21" i="11"/>
  <c r="R21" i="11" s="1"/>
  <c r="S21" i="11" s="1"/>
  <c r="D22" i="11"/>
  <c r="I21" i="11"/>
  <c r="X21" i="11" s="1"/>
  <c r="Y21" i="11" s="1"/>
  <c r="H21" i="11"/>
  <c r="E21" i="11" s="1"/>
  <c r="I31" i="11"/>
  <c r="X31" i="11" s="1"/>
  <c r="Y31" i="11" s="1"/>
  <c r="D32" i="11"/>
  <c r="E64" i="11"/>
  <c r="E65" i="11" s="1"/>
  <c r="BC22" i="11"/>
  <c r="BC24" i="11" s="1"/>
  <c r="F20" i="11"/>
  <c r="BD17" i="11"/>
  <c r="BC23" i="11"/>
  <c r="V18" i="11"/>
  <c r="U18" i="11"/>
  <c r="Q5" i="11"/>
  <c r="Q6" i="11"/>
  <c r="U19" i="11"/>
  <c r="V19" i="11"/>
  <c r="R20" i="11"/>
  <c r="T20" i="11" s="1"/>
  <c r="K22" i="11"/>
  <c r="N21" i="11"/>
  <c r="Q21" i="11" s="1"/>
  <c r="BE16" i="11"/>
  <c r="I27" i="11"/>
  <c r="X27" i="11" s="1"/>
  <c r="Y27" i="11" s="1"/>
  <c r="F21" i="11" l="1"/>
  <c r="BE17" i="11"/>
  <c r="T21" i="11"/>
  <c r="I32" i="11"/>
  <c r="X32" i="11" s="1"/>
  <c r="Y32" i="11" s="1"/>
  <c r="D33" i="11"/>
  <c r="BE19" i="11"/>
  <c r="BE21" i="11"/>
  <c r="F64" i="11"/>
  <c r="F65" i="11" s="1"/>
  <c r="BD22" i="11"/>
  <c r="I22" i="11"/>
  <c r="X22" i="11" s="1"/>
  <c r="Y22" i="11" s="1"/>
  <c r="G22" i="11"/>
  <c r="R22" i="11" s="1"/>
  <c r="S22" i="11" s="1"/>
  <c r="H22" i="11"/>
  <c r="E22" i="11" s="1"/>
  <c r="V20" i="11"/>
  <c r="U20" i="11"/>
  <c r="I59" i="11"/>
  <c r="BH15" i="11"/>
  <c r="K23" i="11"/>
  <c r="N22" i="11"/>
  <c r="Q22" i="11" s="1"/>
  <c r="BF16" i="11"/>
  <c r="S20" i="11"/>
  <c r="BD23" i="11"/>
  <c r="BD24" i="11"/>
  <c r="AB28" i="11"/>
  <c r="AB19" i="11"/>
  <c r="AB25" i="11"/>
  <c r="AB27" i="11"/>
  <c r="AB31" i="11"/>
  <c r="AB26" i="11"/>
  <c r="AB18" i="11"/>
  <c r="AB29" i="11"/>
  <c r="AB21" i="11"/>
  <c r="AA21" i="11" s="1"/>
  <c r="Z21" i="11" s="1"/>
  <c r="AB22" i="11"/>
  <c r="AB30" i="11"/>
  <c r="AB20" i="11"/>
  <c r="AB24" i="11"/>
  <c r="AB23" i="11"/>
  <c r="T22" i="11" l="1"/>
  <c r="AA22" i="11"/>
  <c r="Z22" i="11" s="1"/>
  <c r="AC22" i="11" s="1"/>
  <c r="AG22" i="11" s="1"/>
  <c r="BE23" i="11"/>
  <c r="AA20" i="11"/>
  <c r="Z20" i="11" s="1"/>
  <c r="AC20" i="11" s="1"/>
  <c r="AG20" i="11" s="1"/>
  <c r="BF21" i="11"/>
  <c r="BF19" i="11"/>
  <c r="V21" i="11"/>
  <c r="U21" i="11"/>
  <c r="AC21" i="11"/>
  <c r="AG21" i="11" s="1"/>
  <c r="BB18" i="11"/>
  <c r="AA18" i="11"/>
  <c r="Z18" i="11" s="1"/>
  <c r="AC18" i="11" s="1"/>
  <c r="AG18" i="11" s="1"/>
  <c r="AA19" i="11"/>
  <c r="Z19" i="11" s="1"/>
  <c r="AC19" i="11" s="1"/>
  <c r="AG19" i="11" s="1"/>
  <c r="K24" i="11"/>
  <c r="N23" i="11"/>
  <c r="Q23" i="11" s="1"/>
  <c r="BG16" i="11"/>
  <c r="I33" i="11"/>
  <c r="X33" i="11" s="1"/>
  <c r="Y33" i="11" s="1"/>
  <c r="D34" i="11"/>
  <c r="BF17" i="11"/>
  <c r="F22" i="11"/>
  <c r="H23" i="11"/>
  <c r="E23" i="11" s="1"/>
  <c r="G23" i="11"/>
  <c r="J59" i="11"/>
  <c r="BI15" i="11"/>
  <c r="G64" i="11"/>
  <c r="G65" i="11" s="1"/>
  <c r="BE22" i="11"/>
  <c r="BE24" i="11" s="1"/>
  <c r="AH20" i="11" l="1"/>
  <c r="AJ20" i="11" s="1"/>
  <c r="BG17" i="11"/>
  <c r="F23" i="11"/>
  <c r="G24" i="11"/>
  <c r="R24" i="11" s="1"/>
  <c r="S24" i="11" s="1"/>
  <c r="H24" i="11"/>
  <c r="E24" i="11" s="1"/>
  <c r="AH22" i="11"/>
  <c r="AJ22" i="11" s="1"/>
  <c r="BG21" i="11"/>
  <c r="BG19" i="11"/>
  <c r="AH21" i="11"/>
  <c r="AJ21" i="11" s="1"/>
  <c r="BF23" i="11"/>
  <c r="AH18" i="11"/>
  <c r="AJ18" i="11" s="1"/>
  <c r="BC18" i="11"/>
  <c r="BB25" i="11"/>
  <c r="BB26" i="11" s="1"/>
  <c r="BB28" i="11" s="1"/>
  <c r="BB29" i="11" s="1"/>
  <c r="AA23" i="11"/>
  <c r="Z23" i="11" s="1"/>
  <c r="AC23" i="11" s="1"/>
  <c r="AG23" i="11" s="1"/>
  <c r="H64" i="11"/>
  <c r="H65" i="11" s="1"/>
  <c r="BF22" i="11"/>
  <c r="BF24" i="11" s="1"/>
  <c r="K25" i="11"/>
  <c r="N24" i="11"/>
  <c r="Q24" i="11" s="1"/>
  <c r="BH16" i="11"/>
  <c r="AH19" i="11"/>
  <c r="AJ19" i="11" s="1"/>
  <c r="R23" i="11"/>
  <c r="V22" i="11"/>
  <c r="U22" i="11"/>
  <c r="K59" i="11"/>
  <c r="BJ15" i="11"/>
  <c r="I34" i="11"/>
  <c r="X34" i="11" s="1"/>
  <c r="Y34" i="11" s="1"/>
  <c r="D35" i="11"/>
  <c r="AI20" i="11" l="1"/>
  <c r="AK20" i="11" s="1"/>
  <c r="AL20" i="11" s="1"/>
  <c r="AR20" i="11" s="1"/>
  <c r="AI18" i="11"/>
  <c r="AK18" i="11" s="1"/>
  <c r="AL18" i="11" s="1"/>
  <c r="AR18" i="11" s="1"/>
  <c r="BB31" i="11" s="1"/>
  <c r="BB32" i="11" s="1"/>
  <c r="AH23" i="11"/>
  <c r="F24" i="11"/>
  <c r="BH17" i="11"/>
  <c r="H25" i="11"/>
  <c r="E25" i="11" s="1"/>
  <c r="G25" i="11"/>
  <c r="AA24" i="11"/>
  <c r="Z24" i="11" s="1"/>
  <c r="AC24" i="11" s="1"/>
  <c r="AG24" i="11" s="1"/>
  <c r="T24" i="11"/>
  <c r="I35" i="11"/>
  <c r="X35" i="11" s="1"/>
  <c r="Y35" i="11" s="1"/>
  <c r="D36" i="11"/>
  <c r="S23" i="11"/>
  <c r="AI22" i="11"/>
  <c r="AK22" i="11" s="1"/>
  <c r="AL22" i="11" s="1"/>
  <c r="AR22" i="11" s="1"/>
  <c r="BH21" i="11"/>
  <c r="BH19" i="11"/>
  <c r="T23" i="11"/>
  <c r="AI21" i="11"/>
  <c r="AK21" i="11" s="1"/>
  <c r="AL21" i="11" s="1"/>
  <c r="AR21" i="11" s="1"/>
  <c r="AI19" i="11"/>
  <c r="AK19" i="11" s="1"/>
  <c r="AL19" i="11" s="1"/>
  <c r="AR19" i="11" s="1"/>
  <c r="BD18" i="11"/>
  <c r="BC25" i="11"/>
  <c r="BC26" i="11" s="1"/>
  <c r="BC28" i="11" s="1"/>
  <c r="BC29" i="11" s="1"/>
  <c r="L59" i="11"/>
  <c r="BK15" i="11"/>
  <c r="BG23" i="11"/>
  <c r="K26" i="11"/>
  <c r="BI16" i="11"/>
  <c r="N25" i="11"/>
  <c r="Q25" i="11" s="1"/>
  <c r="I64" i="11"/>
  <c r="I65" i="11" s="1"/>
  <c r="BG22" i="11"/>
  <c r="BG24" i="11" s="1"/>
  <c r="BC31" i="11" l="1"/>
  <c r="BD31" i="11" s="1"/>
  <c r="BE31" i="11" s="1"/>
  <c r="BF31" i="11" s="1"/>
  <c r="F25" i="11"/>
  <c r="BI17" i="11"/>
  <c r="G26" i="11"/>
  <c r="R26" i="11" s="1"/>
  <c r="S26" i="11" s="1"/>
  <c r="H26" i="11"/>
  <c r="E26" i="11" s="1"/>
  <c r="BI21" i="11"/>
  <c r="BI19" i="11"/>
  <c r="AH24" i="11"/>
  <c r="K27" i="11"/>
  <c r="BJ16" i="11"/>
  <c r="N26" i="11"/>
  <c r="Q26" i="11" s="1"/>
  <c r="V23" i="11"/>
  <c r="U23" i="11"/>
  <c r="I36" i="11"/>
  <c r="X36" i="11" s="1"/>
  <c r="Y36" i="11" s="1"/>
  <c r="D37" i="11"/>
  <c r="AJ23" i="11"/>
  <c r="AQ23" i="11" s="1"/>
  <c r="M59" i="11"/>
  <c r="BL15" i="11"/>
  <c r="BH23" i="11"/>
  <c r="AA25" i="11"/>
  <c r="Z25" i="11" s="1"/>
  <c r="AC25" i="11" s="1"/>
  <c r="AG25" i="11" s="1"/>
  <c r="BE18" i="11"/>
  <c r="BD25" i="11"/>
  <c r="BD26" i="11" s="1"/>
  <c r="BD28" i="11" s="1"/>
  <c r="BD29" i="11" s="1"/>
  <c r="V24" i="11"/>
  <c r="U24" i="11"/>
  <c r="D60" i="11"/>
  <c r="D61" i="11" s="1"/>
  <c r="BB33" i="11"/>
  <c r="AI23" i="11"/>
  <c r="R25" i="11"/>
  <c r="T25" i="11" s="1"/>
  <c r="J64" i="11"/>
  <c r="J65" i="11" s="1"/>
  <c r="BH22" i="11"/>
  <c r="BH24" i="11" s="1"/>
  <c r="AK23" i="11" l="1"/>
  <c r="AL23" i="11" s="1"/>
  <c r="AR23" i="11" s="1"/>
  <c r="BG31" i="11" s="1"/>
  <c r="BD32" i="11"/>
  <c r="F60" i="11" s="1"/>
  <c r="F61" i="11" s="1"/>
  <c r="BC32" i="11"/>
  <c r="BC33" i="11" s="1"/>
  <c r="F26" i="11"/>
  <c r="BJ17" i="11"/>
  <c r="G27" i="11"/>
  <c r="R27" i="11" s="1"/>
  <c r="S27" i="11" s="1"/>
  <c r="H27" i="11"/>
  <c r="E27" i="11" s="1"/>
  <c r="AA26" i="11"/>
  <c r="Z26" i="11" s="1"/>
  <c r="AC26" i="11" s="1"/>
  <c r="AG26" i="11" s="1"/>
  <c r="T26" i="11"/>
  <c r="BJ21" i="11"/>
  <c r="BJ19" i="11"/>
  <c r="K28" i="11"/>
  <c r="N27" i="11"/>
  <c r="Q27" i="11"/>
  <c r="BK16" i="11"/>
  <c r="AJ24" i="11"/>
  <c r="AQ24" i="11" s="1"/>
  <c r="N59" i="11"/>
  <c r="BM15" i="11"/>
  <c r="AI24" i="11"/>
  <c r="V25" i="11"/>
  <c r="U25" i="11"/>
  <c r="AH25" i="11"/>
  <c r="AI25" i="11" s="1"/>
  <c r="BD33" i="11"/>
  <c r="K64" i="11"/>
  <c r="K65" i="11" s="1"/>
  <c r="BI22" i="11"/>
  <c r="BI24" i="11" s="1"/>
  <c r="D38" i="11"/>
  <c r="I37" i="11"/>
  <c r="X37" i="11" s="1"/>
  <c r="Y37" i="11" s="1"/>
  <c r="S25" i="11"/>
  <c r="BF18" i="11"/>
  <c r="BE25" i="11"/>
  <c r="BE26" i="11" s="1"/>
  <c r="BE28" i="11" s="1"/>
  <c r="BE29" i="11" s="1"/>
  <c r="BE32" i="11" s="1"/>
  <c r="BI23" i="11"/>
  <c r="E60" i="11" l="1"/>
  <c r="E61" i="11" s="1"/>
  <c r="AH26" i="11"/>
  <c r="F27" i="11"/>
  <c r="BK17" i="11"/>
  <c r="H28" i="11"/>
  <c r="E28" i="11" s="1"/>
  <c r="G28" i="11"/>
  <c r="R28" i="11" s="1"/>
  <c r="S28" i="11" s="1"/>
  <c r="E11" i="11"/>
  <c r="AJ25" i="11"/>
  <c r="AK25" i="11" s="1"/>
  <c r="AL25" i="11" s="1"/>
  <c r="BL16" i="11"/>
  <c r="K29" i="11"/>
  <c r="N28" i="11"/>
  <c r="Q28" i="11" s="1"/>
  <c r="D39" i="11"/>
  <c r="I38" i="11"/>
  <c r="X38" i="11" s="1"/>
  <c r="Y38" i="11" s="1"/>
  <c r="G60" i="11"/>
  <c r="G61" i="11" s="1"/>
  <c r="BE33" i="11"/>
  <c r="BK21" i="11"/>
  <c r="BK19" i="11"/>
  <c r="BJ23" i="11"/>
  <c r="O59" i="11"/>
  <c r="BB36" i="11"/>
  <c r="BG18" i="11"/>
  <c r="BF25" i="11"/>
  <c r="BF26" i="11" s="1"/>
  <c r="BF28" i="11" s="1"/>
  <c r="BF29" i="11" s="1"/>
  <c r="BF32" i="11" s="1"/>
  <c r="AK24" i="11"/>
  <c r="AL24" i="11" s="1"/>
  <c r="AR24" i="11" s="1"/>
  <c r="BH31" i="11" s="1"/>
  <c r="AA27" i="11"/>
  <c r="Z27" i="11" s="1"/>
  <c r="AC27" i="11" s="1"/>
  <c r="AG27" i="11" s="1"/>
  <c r="T27" i="11"/>
  <c r="L64" i="11"/>
  <c r="L65" i="11" s="1"/>
  <c r="BJ22" i="11"/>
  <c r="BJ24" i="11" s="1"/>
  <c r="V26" i="11"/>
  <c r="U26" i="11"/>
  <c r="AQ25" i="11" l="1"/>
  <c r="AR25" i="11" s="1"/>
  <c r="BI31" i="11" s="1"/>
  <c r="F28" i="11"/>
  <c r="BL17" i="11"/>
  <c r="H29" i="11"/>
  <c r="E29" i="11" s="1"/>
  <c r="G29" i="11"/>
  <c r="R29" i="11" s="1"/>
  <c r="S29" i="11" s="1"/>
  <c r="AA28" i="11"/>
  <c r="Z28" i="11" s="1"/>
  <c r="AC28" i="11" s="1"/>
  <c r="AG28" i="11" s="1"/>
  <c r="T28" i="11"/>
  <c r="AH27" i="11"/>
  <c r="AI27" i="11" s="1"/>
  <c r="BH18" i="11"/>
  <c r="BG25" i="11"/>
  <c r="BG27" i="11" s="1"/>
  <c r="BG28" i="11" s="1"/>
  <c r="BG29" i="11" s="1"/>
  <c r="BG32" i="11" s="1"/>
  <c r="P59" i="11"/>
  <c r="BC36" i="11"/>
  <c r="H60" i="11"/>
  <c r="H61" i="11" s="1"/>
  <c r="BF33" i="11"/>
  <c r="N29" i="11"/>
  <c r="Q29" i="11" s="1"/>
  <c r="K30" i="11"/>
  <c r="BM16" i="11"/>
  <c r="M64" i="11"/>
  <c r="M65" i="11" s="1"/>
  <c r="BK22" i="11"/>
  <c r="BK24" i="11" s="1"/>
  <c r="BL21" i="11"/>
  <c r="BL19" i="11"/>
  <c r="V27" i="11"/>
  <c r="U27" i="11"/>
  <c r="AJ26" i="11"/>
  <c r="AQ26" i="11" s="1"/>
  <c r="BK23" i="11"/>
  <c r="I39" i="11"/>
  <c r="X39" i="11" s="1"/>
  <c r="Y39" i="11" s="1"/>
  <c r="D40" i="11"/>
  <c r="AI26" i="11"/>
  <c r="AK26" i="11" l="1"/>
  <c r="AL26" i="11" s="1"/>
  <c r="AR26" i="11" s="1"/>
  <c r="BJ31" i="11" s="1"/>
  <c r="BM17" i="11"/>
  <c r="F29" i="11"/>
  <c r="H30" i="11"/>
  <c r="E30" i="11" s="1"/>
  <c r="G30" i="11"/>
  <c r="R30" i="11" s="1"/>
  <c r="S30" i="11" s="1"/>
  <c r="Q59" i="11"/>
  <c r="BD36" i="11"/>
  <c r="D41" i="11"/>
  <c r="I40" i="11"/>
  <c r="X40" i="11" s="1"/>
  <c r="Y40" i="11" s="1"/>
  <c r="I60" i="11"/>
  <c r="I61" i="11" s="1"/>
  <c r="BG33" i="11"/>
  <c r="T29" i="11"/>
  <c r="AA29" i="11"/>
  <c r="Z29" i="11" s="1"/>
  <c r="AC29" i="11" s="1"/>
  <c r="AG29" i="11" s="1"/>
  <c r="BI18" i="11"/>
  <c r="BH25" i="11"/>
  <c r="BH27" i="11" s="1"/>
  <c r="BH28" i="11" s="1"/>
  <c r="BH29" i="11" s="1"/>
  <c r="BH32" i="11" s="1"/>
  <c r="AH28" i="11"/>
  <c r="AI28" i="11" s="1"/>
  <c r="BL23" i="11"/>
  <c r="BB37" i="11"/>
  <c r="N30" i="11"/>
  <c r="Q30" i="11" s="1"/>
  <c r="K31" i="11"/>
  <c r="N64" i="11"/>
  <c r="N65" i="11" s="1"/>
  <c r="BL22" i="11"/>
  <c r="BL24" i="11" s="1"/>
  <c r="BM21" i="11"/>
  <c r="BM19" i="11"/>
  <c r="AJ27" i="11"/>
  <c r="AK27" i="11" s="1"/>
  <c r="AL27" i="11" s="1"/>
  <c r="V28" i="11"/>
  <c r="U28" i="11"/>
  <c r="AQ27" i="11" l="1"/>
  <c r="AR27" i="11" s="1"/>
  <c r="BK31" i="11" s="1"/>
  <c r="F30" i="11"/>
  <c r="BB38" i="11"/>
  <c r="G31" i="11"/>
  <c r="R31" i="11" s="1"/>
  <c r="S31" i="11" s="1"/>
  <c r="H31" i="11"/>
  <c r="E31" i="11" s="1"/>
  <c r="AJ28" i="11"/>
  <c r="AQ28" i="11" s="1"/>
  <c r="J60" i="11"/>
  <c r="J61" i="11" s="1"/>
  <c r="BH33" i="11"/>
  <c r="N31" i="11"/>
  <c r="Q31" i="11" s="1"/>
  <c r="BC37" i="11"/>
  <c r="K32" i="11"/>
  <c r="BJ18" i="11"/>
  <c r="BI25" i="11"/>
  <c r="BI27" i="11" s="1"/>
  <c r="BI28" i="11" s="1"/>
  <c r="BI29" i="11" s="1"/>
  <c r="BI32" i="11" s="1"/>
  <c r="AA30" i="11"/>
  <c r="Z30" i="11" s="1"/>
  <c r="AC30" i="11" s="1"/>
  <c r="AG30" i="11" s="1"/>
  <c r="T30" i="11"/>
  <c r="O64" i="11"/>
  <c r="O65" i="11" s="1"/>
  <c r="BM22" i="11"/>
  <c r="BM24" i="11" s="1"/>
  <c r="BM23" i="11"/>
  <c r="BB42" i="11"/>
  <c r="BB40" i="11"/>
  <c r="U29" i="11"/>
  <c r="V29" i="11"/>
  <c r="I41" i="11"/>
  <c r="X41" i="11" s="1"/>
  <c r="Y41" i="11" s="1"/>
  <c r="D42" i="11"/>
  <c r="AH29" i="11"/>
  <c r="AI29" i="11" s="1"/>
  <c r="R59" i="11"/>
  <c r="BE36" i="11"/>
  <c r="BC38" i="11" l="1"/>
  <c r="F31" i="11"/>
  <c r="H32" i="11"/>
  <c r="E32" i="11" s="1"/>
  <c r="G32" i="11"/>
  <c r="R32" i="11" s="1"/>
  <c r="S32" i="11" s="1"/>
  <c r="T31" i="11"/>
  <c r="AA31" i="11"/>
  <c r="Z31" i="11" s="1"/>
  <c r="AC31" i="11" s="1"/>
  <c r="AG31" i="11" s="1"/>
  <c r="AJ29" i="11"/>
  <c r="AK29" i="11" s="1"/>
  <c r="AL29" i="11" s="1"/>
  <c r="BD37" i="11"/>
  <c r="K33" i="11"/>
  <c r="N32" i="11"/>
  <c r="Q32" i="11" s="1"/>
  <c r="BC42" i="11"/>
  <c r="BC40" i="11"/>
  <c r="BB44" i="11"/>
  <c r="D43" i="11"/>
  <c r="D44" i="11" s="1"/>
  <c r="D45" i="11" s="1"/>
  <c r="D46" i="11" s="1"/>
  <c r="D47" i="11" s="1"/>
  <c r="D48" i="11" s="1"/>
  <c r="D49" i="11" s="1"/>
  <c r="D50" i="11" s="1"/>
  <c r="D51" i="11" s="1"/>
  <c r="D52" i="11" s="1"/>
  <c r="I42" i="11"/>
  <c r="X42" i="11" s="1"/>
  <c r="Y42" i="11" s="1"/>
  <c r="AH30" i="11"/>
  <c r="AI30" i="11" s="1"/>
  <c r="S59" i="11"/>
  <c r="BF36" i="11"/>
  <c r="BK18" i="11"/>
  <c r="BJ25" i="11"/>
  <c r="BJ27" i="11" s="1"/>
  <c r="BJ28" i="11" s="1"/>
  <c r="BJ29" i="11" s="1"/>
  <c r="BJ32" i="11" s="1"/>
  <c r="AK28" i="11"/>
  <c r="AL28" i="11" s="1"/>
  <c r="AR28" i="11" s="1"/>
  <c r="BL31" i="11" s="1"/>
  <c r="V30" i="11"/>
  <c r="U30" i="11"/>
  <c r="K60" i="11"/>
  <c r="K61" i="11" s="1"/>
  <c r="BI33" i="11"/>
  <c r="P64" i="11"/>
  <c r="P65" i="11" s="1"/>
  <c r="BB43" i="11"/>
  <c r="BB45" i="11" s="1"/>
  <c r="AQ29" i="11" l="1"/>
  <c r="AR29" i="11" s="1"/>
  <c r="BM31" i="11" s="1"/>
  <c r="AA32" i="11"/>
  <c r="Z32" i="11" s="1"/>
  <c r="AC32" i="11" s="1"/>
  <c r="AG32" i="11" s="1"/>
  <c r="T32" i="11"/>
  <c r="F32" i="11"/>
  <c r="BD38" i="11"/>
  <c r="G33" i="11"/>
  <c r="R33" i="11" s="1"/>
  <c r="S33" i="11" s="1"/>
  <c r="H33" i="11"/>
  <c r="E33" i="11" s="1"/>
  <c r="BL18" i="11"/>
  <c r="BK25" i="11"/>
  <c r="BK27" i="11" s="1"/>
  <c r="BK28" i="11" s="1"/>
  <c r="BK29" i="11" s="1"/>
  <c r="BK32" i="11" s="1"/>
  <c r="T59" i="11"/>
  <c r="BG36" i="11"/>
  <c r="N33" i="11"/>
  <c r="Q33" i="11" s="1"/>
  <c r="K34" i="11"/>
  <c r="BE37" i="11"/>
  <c r="L60" i="11"/>
  <c r="L61" i="11" s="1"/>
  <c r="BJ33" i="11"/>
  <c r="BD42" i="11"/>
  <c r="BD40" i="11"/>
  <c r="BC44" i="11"/>
  <c r="AJ30" i="11"/>
  <c r="AK30" i="11" s="1"/>
  <c r="AL30" i="11" s="1"/>
  <c r="AH31" i="11"/>
  <c r="U31" i="11"/>
  <c r="V31" i="11"/>
  <c r="Q64" i="11"/>
  <c r="Q65" i="11" s="1"/>
  <c r="BC43" i="11"/>
  <c r="BC45" i="11" s="1"/>
  <c r="AH32" i="11" l="1"/>
  <c r="AI32" i="11" s="1"/>
  <c r="AJ31" i="11"/>
  <c r="AQ31" i="11" s="1"/>
  <c r="BE38" i="11"/>
  <c r="F33" i="11"/>
  <c r="H34" i="11"/>
  <c r="E34" i="11" s="1"/>
  <c r="G34" i="11"/>
  <c r="R34" i="11" s="1"/>
  <c r="S34" i="11" s="1"/>
  <c r="U59" i="11"/>
  <c r="BH36" i="11"/>
  <c r="R64" i="11"/>
  <c r="R65" i="11" s="1"/>
  <c r="BD43" i="11"/>
  <c r="BD45" i="11" s="1"/>
  <c r="T33" i="11"/>
  <c r="AA33" i="11"/>
  <c r="Z33" i="11" s="1"/>
  <c r="AC33" i="11" s="1"/>
  <c r="AG33" i="11" s="1"/>
  <c r="AI31" i="11"/>
  <c r="AQ30" i="11"/>
  <c r="AR30" i="11" s="1"/>
  <c r="BB52" i="11" s="1"/>
  <c r="M60" i="11"/>
  <c r="M61" i="11" s="1"/>
  <c r="BK33" i="11"/>
  <c r="BM18" i="11"/>
  <c r="BL25" i="11"/>
  <c r="BL27" i="11" s="1"/>
  <c r="BL28" i="11" s="1"/>
  <c r="BL29" i="11" s="1"/>
  <c r="BL32" i="11" s="1"/>
  <c r="V32" i="11"/>
  <c r="U32" i="11"/>
  <c r="BD44" i="11"/>
  <c r="BE40" i="11"/>
  <c r="BE42" i="11"/>
  <c r="Q34" i="11"/>
  <c r="N34" i="11"/>
  <c r="K35" i="11"/>
  <c r="BF37" i="11"/>
  <c r="AH33" i="11" l="1"/>
  <c r="AI33" i="11" s="1"/>
  <c r="U33" i="11"/>
  <c r="V33" i="11"/>
  <c r="S64" i="11"/>
  <c r="S65" i="11" s="1"/>
  <c r="BE43" i="11"/>
  <c r="BF38" i="11"/>
  <c r="F34" i="11"/>
  <c r="G35" i="11"/>
  <c r="R35" i="11" s="1"/>
  <c r="S35" i="11" s="1"/>
  <c r="H35" i="11"/>
  <c r="E35" i="11" s="1"/>
  <c r="BF42" i="11"/>
  <c r="BF40" i="11"/>
  <c r="V59" i="11"/>
  <c r="BI36" i="11"/>
  <c r="AA34" i="11"/>
  <c r="Z34" i="11" s="1"/>
  <c r="AC34" i="11" s="1"/>
  <c r="AG34" i="11" s="1"/>
  <c r="T34" i="11"/>
  <c r="AK31" i="11"/>
  <c r="AL31" i="11" s="1"/>
  <c r="AR31" i="11" s="1"/>
  <c r="BC52" i="11" s="1"/>
  <c r="AJ32" i="11"/>
  <c r="AQ32" i="11" s="1"/>
  <c r="N35" i="11"/>
  <c r="BG37" i="11"/>
  <c r="K36" i="11"/>
  <c r="Q35" i="11"/>
  <c r="BB39" i="11"/>
  <c r="BM25" i="11"/>
  <c r="BM27" i="11" s="1"/>
  <c r="BM28" i="11" s="1"/>
  <c r="BM29" i="11" s="1"/>
  <c r="BM32" i="11" s="1"/>
  <c r="BE45" i="11"/>
  <c r="BE44" i="11"/>
  <c r="N60" i="11"/>
  <c r="N61" i="11" s="1"/>
  <c r="BL33" i="11"/>
  <c r="AH34" i="11" l="1"/>
  <c r="BG38" i="11"/>
  <c r="F35" i="11"/>
  <c r="H36" i="11"/>
  <c r="E36" i="11" s="1"/>
  <c r="G36" i="11"/>
  <c r="R36" i="11" s="1"/>
  <c r="S36" i="11" s="1"/>
  <c r="W59" i="11"/>
  <c r="BJ36" i="11"/>
  <c r="AA35" i="11"/>
  <c r="Z35" i="11" s="1"/>
  <c r="AC35" i="11" s="1"/>
  <c r="AG35" i="11" s="1"/>
  <c r="T35" i="11"/>
  <c r="AK32" i="11"/>
  <c r="AL32" i="11" s="1"/>
  <c r="AR32" i="11" s="1"/>
  <c r="BD52" i="11" s="1"/>
  <c r="BF44" i="11"/>
  <c r="T64" i="11"/>
  <c r="T65" i="11" s="1"/>
  <c r="BF43" i="11"/>
  <c r="BF45" i="11" s="1"/>
  <c r="BH37" i="11"/>
  <c r="K37" i="11"/>
  <c r="N36" i="11"/>
  <c r="Q36" i="11" s="1"/>
  <c r="AJ33" i="11"/>
  <c r="AK33" i="11" s="1"/>
  <c r="AL33" i="11" s="1"/>
  <c r="BG40" i="11"/>
  <c r="BG42" i="11"/>
  <c r="O60" i="11"/>
  <c r="O61" i="11" s="1"/>
  <c r="BM33" i="11"/>
  <c r="BC39" i="11"/>
  <c r="BB46" i="11"/>
  <c r="BB48" i="11" s="1"/>
  <c r="BB49" i="11" s="1"/>
  <c r="BB50" i="11" s="1"/>
  <c r="BB53" i="11" s="1"/>
  <c r="U34" i="11"/>
  <c r="V34" i="11"/>
  <c r="BH38" i="11" l="1"/>
  <c r="F36" i="11"/>
  <c r="H37" i="11"/>
  <c r="E37" i="11" s="1"/>
  <c r="G37" i="11"/>
  <c r="R37" i="11" s="1"/>
  <c r="S37" i="11" s="1"/>
  <c r="AA36" i="11"/>
  <c r="Z36" i="11" s="1"/>
  <c r="AC36" i="11" s="1"/>
  <c r="AG36" i="11" s="1"/>
  <c r="T36" i="11"/>
  <c r="BD39" i="11"/>
  <c r="BC46" i="11"/>
  <c r="BC48" i="11" s="1"/>
  <c r="BC49" i="11" s="1"/>
  <c r="BC50" i="11" s="1"/>
  <c r="BC53" i="11" s="1"/>
  <c r="K38" i="11"/>
  <c r="N37" i="11"/>
  <c r="Q37" i="11" s="1"/>
  <c r="BI37" i="11"/>
  <c r="AH35" i="11"/>
  <c r="AI35" i="11" s="1"/>
  <c r="BH42" i="11"/>
  <c r="BH40" i="11"/>
  <c r="U64" i="11"/>
  <c r="U65" i="11" s="1"/>
  <c r="BG43" i="11"/>
  <c r="BG45" i="11" s="1"/>
  <c r="U35" i="11"/>
  <c r="V35" i="11"/>
  <c r="X59" i="11"/>
  <c r="BK36" i="11"/>
  <c r="AJ34" i="11"/>
  <c r="AQ34" i="11" s="1"/>
  <c r="BG44" i="11"/>
  <c r="BB54" i="11"/>
  <c r="P60" i="11"/>
  <c r="P61" i="11" s="1"/>
  <c r="AQ33" i="11"/>
  <c r="AR33" i="11" s="1"/>
  <c r="BE52" i="11" s="1"/>
  <c r="AI34" i="11"/>
  <c r="BI38" i="11" l="1"/>
  <c r="F37" i="11"/>
  <c r="H38" i="11"/>
  <c r="E38" i="11" s="1"/>
  <c r="G38" i="11"/>
  <c r="R38" i="11" s="1"/>
  <c r="S38" i="11" s="1"/>
  <c r="AH36" i="11"/>
  <c r="AI36" i="11" s="1"/>
  <c r="BH44" i="11"/>
  <c r="BI40" i="11"/>
  <c r="BI42" i="11"/>
  <c r="Y59" i="11"/>
  <c r="BL36" i="11"/>
  <c r="BJ37" i="11"/>
  <c r="K39" i="11"/>
  <c r="N38" i="11"/>
  <c r="Q38" i="11" s="1"/>
  <c r="AK34" i="11"/>
  <c r="AL34" i="11" s="1"/>
  <c r="AR34" i="11" s="1"/>
  <c r="BF52" i="11" s="1"/>
  <c r="Q60" i="11"/>
  <c r="Q61" i="11" s="1"/>
  <c r="BC54" i="11"/>
  <c r="BE39" i="11"/>
  <c r="BD46" i="11"/>
  <c r="BD48" i="11" s="1"/>
  <c r="BD49" i="11" s="1"/>
  <c r="BD50" i="11" s="1"/>
  <c r="BD53" i="11" s="1"/>
  <c r="T37" i="11"/>
  <c r="AA37" i="11"/>
  <c r="Z37" i="11" s="1"/>
  <c r="AC37" i="11" s="1"/>
  <c r="AG37" i="11" s="1"/>
  <c r="AJ35" i="11"/>
  <c r="AK35" i="11" s="1"/>
  <c r="AL35" i="11" s="1"/>
  <c r="U36" i="11"/>
  <c r="V36" i="11"/>
  <c r="V64" i="11"/>
  <c r="V65" i="11" s="1"/>
  <c r="BH43" i="11"/>
  <c r="BH45" i="11" s="1"/>
  <c r="AA38" i="11" l="1"/>
  <c r="Z38" i="11" s="1"/>
  <c r="AC38" i="11" s="1"/>
  <c r="AG38" i="11" s="1"/>
  <c r="T38" i="11"/>
  <c r="BJ38" i="11"/>
  <c r="F38" i="11"/>
  <c r="H39" i="11"/>
  <c r="E39" i="11" s="1"/>
  <c r="G39" i="11"/>
  <c r="R39" i="11" s="1"/>
  <c r="S39" i="11" s="1"/>
  <c r="AH37" i="11"/>
  <c r="AJ36" i="11"/>
  <c r="AK36" i="11" s="1"/>
  <c r="AL36" i="11" s="1"/>
  <c r="AQ35" i="11"/>
  <c r="AR35" i="11" s="1"/>
  <c r="BG52" i="11" s="1"/>
  <c r="V37" i="11"/>
  <c r="U37" i="11"/>
  <c r="N39" i="11"/>
  <c r="Q39" i="11" s="1"/>
  <c r="BK37" i="11"/>
  <c r="K40" i="11"/>
  <c r="BJ42" i="11"/>
  <c r="BJ40" i="11"/>
  <c r="BI44" i="11"/>
  <c r="R60" i="11"/>
  <c r="R61" i="11" s="1"/>
  <c r="BD54" i="11"/>
  <c r="W64" i="11"/>
  <c r="W65" i="11" s="1"/>
  <c r="BI43" i="11"/>
  <c r="BI45" i="11" s="1"/>
  <c r="BF39" i="11"/>
  <c r="BE46" i="11"/>
  <c r="BE48" i="11" s="1"/>
  <c r="BE49" i="11" s="1"/>
  <c r="BE50" i="11" s="1"/>
  <c r="BE53" i="11" s="1"/>
  <c r="Z59" i="11"/>
  <c r="BM36" i="11"/>
  <c r="AQ36" i="11" l="1"/>
  <c r="AR36" i="11" s="1"/>
  <c r="BH52" i="11" s="1"/>
  <c r="AA39" i="11"/>
  <c r="Z39" i="11" s="1"/>
  <c r="T39" i="11"/>
  <c r="AC39" i="11"/>
  <c r="AG39" i="11" s="1"/>
  <c r="AH38" i="11"/>
  <c r="AI38" i="11" s="1"/>
  <c r="F39" i="11"/>
  <c r="BK38" i="11"/>
  <c r="H40" i="11"/>
  <c r="E40" i="11" s="1"/>
  <c r="G40" i="11"/>
  <c r="R40" i="11" s="1"/>
  <c r="S40" i="11" s="1"/>
  <c r="BK42" i="11"/>
  <c r="BK40" i="11"/>
  <c r="BL37" i="11"/>
  <c r="K41" i="11"/>
  <c r="N40" i="11"/>
  <c r="Q40" i="11" s="1"/>
  <c r="V38" i="11"/>
  <c r="U38" i="11"/>
  <c r="S60" i="11"/>
  <c r="S61" i="11" s="1"/>
  <c r="BE54" i="11"/>
  <c r="AJ37" i="11"/>
  <c r="AQ37" i="11" s="1"/>
  <c r="BG39" i="11"/>
  <c r="BF46" i="11"/>
  <c r="BF48" i="11" s="1"/>
  <c r="BF49" i="11" s="1"/>
  <c r="BF50" i="11" s="1"/>
  <c r="BF53" i="11" s="1"/>
  <c r="AI37" i="11"/>
  <c r="AA59" i="11"/>
  <c r="BN36" i="11"/>
  <c r="BJ43" i="11"/>
  <c r="BJ45" i="11" s="1"/>
  <c r="X64" i="11"/>
  <c r="X65" i="11" s="1"/>
  <c r="BJ44" i="11"/>
  <c r="AK37" i="11" l="1"/>
  <c r="AL37" i="11" s="1"/>
  <c r="AR37" i="11" s="1"/>
  <c r="BI52" i="11" s="1"/>
  <c r="AB59" i="11"/>
  <c r="BO36" i="11"/>
  <c r="T40" i="11"/>
  <c r="AA40" i="11"/>
  <c r="Z40" i="11" s="1"/>
  <c r="AC40" i="11" s="1"/>
  <c r="AG40" i="11" s="1"/>
  <c r="BK44" i="11"/>
  <c r="F40" i="11"/>
  <c r="BL38" i="11"/>
  <c r="H41" i="11"/>
  <c r="E41" i="11" s="1"/>
  <c r="G41" i="11"/>
  <c r="R41" i="11" s="1"/>
  <c r="S41" i="11" s="1"/>
  <c r="BF54" i="11"/>
  <c r="T60" i="11"/>
  <c r="T61" i="11" s="1"/>
  <c r="AJ38" i="11"/>
  <c r="AK38" i="11" s="1"/>
  <c r="AL38" i="11" s="1"/>
  <c r="BH39" i="11"/>
  <c r="BG46" i="11"/>
  <c r="BG48" i="11" s="1"/>
  <c r="BG49" i="11" s="1"/>
  <c r="BG50" i="11" s="1"/>
  <c r="BG53" i="11" s="1"/>
  <c r="AH39" i="11"/>
  <c r="K42" i="11"/>
  <c r="N41" i="11"/>
  <c r="Q41" i="11" s="1"/>
  <c r="BM37" i="11"/>
  <c r="V39" i="11"/>
  <c r="U39" i="11"/>
  <c r="BL42" i="11"/>
  <c r="BL40" i="11"/>
  <c r="Y64" i="11"/>
  <c r="Y65" i="11" s="1"/>
  <c r="BK43" i="11"/>
  <c r="BK45" i="11" s="1"/>
  <c r="AQ38" i="11" l="1"/>
  <c r="AR38" i="11" s="1"/>
  <c r="BJ52" i="11" s="1"/>
  <c r="AH40" i="11"/>
  <c r="AI40" i="11" s="1"/>
  <c r="BM38" i="11"/>
  <c r="F41" i="11"/>
  <c r="G42" i="11"/>
  <c r="H42" i="11"/>
  <c r="E42" i="11" s="1"/>
  <c r="Q42" i="11"/>
  <c r="K43" i="11"/>
  <c r="BN37" i="11"/>
  <c r="N42" i="11"/>
  <c r="AJ39" i="11"/>
  <c r="AQ39" i="11" s="1"/>
  <c r="T41" i="11"/>
  <c r="AA41" i="11"/>
  <c r="Z41" i="11" s="1"/>
  <c r="AC41" i="11" s="1"/>
  <c r="AG41" i="11" s="1"/>
  <c r="AI39" i="11"/>
  <c r="U40" i="11"/>
  <c r="V40" i="11"/>
  <c r="BG54" i="11"/>
  <c r="U60" i="11"/>
  <c r="U61" i="11" s="1"/>
  <c r="Z64" i="11"/>
  <c r="Z65" i="11" s="1"/>
  <c r="BL43" i="11"/>
  <c r="BL45" i="11" s="1"/>
  <c r="AC59" i="11"/>
  <c r="BP36" i="11"/>
  <c r="BM40" i="11"/>
  <c r="BM42" i="11"/>
  <c r="BL44" i="11"/>
  <c r="BI39" i="11"/>
  <c r="BH46" i="11"/>
  <c r="BH48" i="11" s="1"/>
  <c r="BH49" i="11" s="1"/>
  <c r="BH50" i="11" s="1"/>
  <c r="BH53" i="11" s="1"/>
  <c r="AK39" i="11" l="1"/>
  <c r="AL39" i="11" s="1"/>
  <c r="F42" i="11"/>
  <c r="BN38" i="11"/>
  <c r="V41" i="11"/>
  <c r="U41" i="11"/>
  <c r="AA42" i="11"/>
  <c r="Z42" i="11" s="1"/>
  <c r="AC42" i="11" s="1"/>
  <c r="AG42" i="11" s="1"/>
  <c r="AH41" i="11"/>
  <c r="BM44" i="11"/>
  <c r="R42" i="11"/>
  <c r="G53" i="11"/>
  <c r="BH54" i="11"/>
  <c r="V60" i="11"/>
  <c r="V61" i="11" s="1"/>
  <c r="AD59" i="11"/>
  <c r="BQ36" i="11"/>
  <c r="AA64" i="11"/>
  <c r="AA65" i="11" s="1"/>
  <c r="BM43" i="11"/>
  <c r="BM45" i="11" s="1"/>
  <c r="BJ39" i="11"/>
  <c r="BI46" i="11"/>
  <c r="BI48" i="11" s="1"/>
  <c r="BI49" i="11" s="1"/>
  <c r="BI50" i="11" s="1"/>
  <c r="BI53" i="11" s="1"/>
  <c r="AR39" i="11"/>
  <c r="BK52" i="11" s="1"/>
  <c r="BN42" i="11"/>
  <c r="BN40" i="11"/>
  <c r="Q43" i="11"/>
  <c r="BO37" i="11"/>
  <c r="K44" i="11"/>
  <c r="N43" i="11"/>
  <c r="S43" i="11"/>
  <c r="AJ40" i="11"/>
  <c r="AK40" i="11" s="1"/>
  <c r="AL40" i="11" s="1"/>
  <c r="BO40" i="11" l="1"/>
  <c r="BO42" i="11"/>
  <c r="BK39" i="11"/>
  <c r="BJ46" i="11"/>
  <c r="BJ48" i="11" s="1"/>
  <c r="BJ49" i="11" s="1"/>
  <c r="BJ50" i="11" s="1"/>
  <c r="BJ53" i="11" s="1"/>
  <c r="AH42" i="11"/>
  <c r="AA43" i="11"/>
  <c r="Z43" i="11" s="1"/>
  <c r="AC43" i="11" s="1"/>
  <c r="AG43" i="11" s="1"/>
  <c r="T43" i="11"/>
  <c r="S42" i="11"/>
  <c r="R53" i="11"/>
  <c r="AQ40" i="11"/>
  <c r="AR40" i="11" s="1"/>
  <c r="BL52" i="11" s="1"/>
  <c r="AE59" i="11"/>
  <c r="BR36" i="11"/>
  <c r="AJ41" i="11"/>
  <c r="AQ41" i="11" s="1"/>
  <c r="AI41" i="11"/>
  <c r="AB64" i="11"/>
  <c r="AB65" i="11" s="1"/>
  <c r="BN43" i="11"/>
  <c r="BN45" i="11" s="1"/>
  <c r="BN44" i="11"/>
  <c r="K45" i="11"/>
  <c r="N44" i="11"/>
  <c r="Q44" i="11" s="1"/>
  <c r="BP37" i="11"/>
  <c r="S44" i="11"/>
  <c r="BI54" i="11"/>
  <c r="W60" i="11"/>
  <c r="W61" i="11" s="1"/>
  <c r="T42" i="11"/>
  <c r="AK41" i="11" l="1"/>
  <c r="AL41" i="11" s="1"/>
  <c r="AR41" i="11" s="1"/>
  <c r="BM52" i="11" s="1"/>
  <c r="AA44" i="11"/>
  <c r="Z44" i="11" s="1"/>
  <c r="AC44" i="11" s="1"/>
  <c r="AG44" i="11" s="1"/>
  <c r="T44" i="11"/>
  <c r="AJ42" i="11"/>
  <c r="AQ42" i="11" s="1"/>
  <c r="BJ54" i="11"/>
  <c r="X60" i="11"/>
  <c r="X61" i="11" s="1"/>
  <c r="BL39" i="11"/>
  <c r="BK46" i="11"/>
  <c r="BK48" i="11" s="1"/>
  <c r="BK49" i="11" s="1"/>
  <c r="BK50" i="11" s="1"/>
  <c r="BK53" i="11" s="1"/>
  <c r="AH43" i="11"/>
  <c r="AF59" i="11"/>
  <c r="BS36" i="11"/>
  <c r="BP42" i="11"/>
  <c r="BP40" i="11"/>
  <c r="BO45" i="11"/>
  <c r="BO44" i="11"/>
  <c r="K46" i="11"/>
  <c r="N45" i="11"/>
  <c r="Q45" i="11"/>
  <c r="BQ37" i="11"/>
  <c r="S45" i="11"/>
  <c r="U43" i="11"/>
  <c r="V43" i="11"/>
  <c r="V42" i="11"/>
  <c r="U42" i="11"/>
  <c r="AI42" i="11"/>
  <c r="AK42" i="11" l="1"/>
  <c r="AL42" i="11" s="1"/>
  <c r="AH44" i="11"/>
  <c r="AG59" i="11"/>
  <c r="BT36" i="11"/>
  <c r="AA45" i="11"/>
  <c r="Z45" i="11" s="1"/>
  <c r="AC45" i="11" s="1"/>
  <c r="AG45" i="11" s="1"/>
  <c r="T45" i="11"/>
  <c r="Q46" i="11"/>
  <c r="K47" i="11"/>
  <c r="N46" i="11"/>
  <c r="BR37" i="11"/>
  <c r="S46" i="11"/>
  <c r="AJ43" i="11"/>
  <c r="AQ43" i="11" s="1"/>
  <c r="AI43" i="11"/>
  <c r="BP45" i="11"/>
  <c r="BP44" i="11"/>
  <c r="Y60" i="11"/>
  <c r="Y61" i="11" s="1"/>
  <c r="BK54" i="11"/>
  <c r="BM39" i="11"/>
  <c r="BL46" i="11"/>
  <c r="BL48" i="11" s="1"/>
  <c r="BL49" i="11" s="1"/>
  <c r="BL50" i="11" s="1"/>
  <c r="BL53" i="11" s="1"/>
  <c r="V44" i="11"/>
  <c r="U44" i="11"/>
  <c r="AR42" i="11"/>
  <c r="BN52" i="11" s="1"/>
  <c r="BO52" i="11" s="1"/>
  <c r="BQ40" i="11"/>
  <c r="BQ42" i="11"/>
  <c r="AK43" i="11" l="1"/>
  <c r="AL43" i="11" s="1"/>
  <c r="AR43" i="11" s="1"/>
  <c r="AH45" i="11"/>
  <c r="Z60" i="11"/>
  <c r="Z61" i="11" s="1"/>
  <c r="BL54" i="11"/>
  <c r="V45" i="11"/>
  <c r="U45" i="11"/>
  <c r="BN39" i="11"/>
  <c r="BM46" i="11"/>
  <c r="BM48" i="11" s="1"/>
  <c r="BM49" i="11" s="1"/>
  <c r="BM50" i="11" s="1"/>
  <c r="BM53" i="11" s="1"/>
  <c r="AH59" i="11"/>
  <c r="BU36" i="11"/>
  <c r="BR42" i="11"/>
  <c r="BR40" i="11"/>
  <c r="BQ44" i="11"/>
  <c r="BQ45" i="11"/>
  <c r="AJ44" i="11"/>
  <c r="AQ44" i="11" s="1"/>
  <c r="T46" i="11"/>
  <c r="AA46" i="11"/>
  <c r="Z46" i="11" s="1"/>
  <c r="AC46" i="11" s="1"/>
  <c r="AG46" i="11" s="1"/>
  <c r="K48" i="11"/>
  <c r="N47" i="11"/>
  <c r="Q47" i="11" s="1"/>
  <c r="BS37" i="11"/>
  <c r="S47" i="11"/>
  <c r="AI44" i="11"/>
  <c r="AK44" i="11" l="1"/>
  <c r="AL44" i="11" s="1"/>
  <c r="AR44" i="11" s="1"/>
  <c r="BP52" i="11" s="1"/>
  <c r="AH46" i="11"/>
  <c r="AI46" i="11" s="1"/>
  <c r="V46" i="11"/>
  <c r="U46" i="11"/>
  <c r="BR45" i="11"/>
  <c r="BR44" i="11"/>
  <c r="BO39" i="11"/>
  <c r="BN46" i="11"/>
  <c r="BN48" i="11" s="1"/>
  <c r="BN49" i="11" s="1"/>
  <c r="BN50" i="11" s="1"/>
  <c r="BN53" i="11" s="1"/>
  <c r="BS42" i="11"/>
  <c r="BS40" i="11"/>
  <c r="T47" i="11"/>
  <c r="AA47" i="11"/>
  <c r="Z47" i="11" s="1"/>
  <c r="AC47" i="11" s="1"/>
  <c r="AG47" i="11" s="1"/>
  <c r="AI59" i="11"/>
  <c r="BV36" i="11"/>
  <c r="K49" i="11"/>
  <c r="BT37" i="11"/>
  <c r="N48" i="11"/>
  <c r="Q48" i="11" s="1"/>
  <c r="S48" i="11"/>
  <c r="AJ45" i="11"/>
  <c r="AQ45" i="11" s="1"/>
  <c r="AA60" i="11"/>
  <c r="AA61" i="11" s="1"/>
  <c r="BM54" i="11"/>
  <c r="AI45" i="11"/>
  <c r="AK45" i="11" l="1"/>
  <c r="AL45" i="11" s="1"/>
  <c r="T48" i="11"/>
  <c r="AA48" i="11"/>
  <c r="Z48" i="11" s="1"/>
  <c r="AC48" i="11" s="1"/>
  <c r="AG48" i="11" s="1"/>
  <c r="AH47" i="11"/>
  <c r="BS44" i="11"/>
  <c r="BS45" i="11"/>
  <c r="V47" i="11"/>
  <c r="U47" i="11"/>
  <c r="BT42" i="11"/>
  <c r="BT40" i="11"/>
  <c r="K50" i="11"/>
  <c r="N49" i="11"/>
  <c r="Q49" i="11" s="1"/>
  <c r="BU37" i="11"/>
  <c r="S49" i="11"/>
  <c r="AR45" i="11"/>
  <c r="BQ52" i="11" s="1"/>
  <c r="AJ59" i="11"/>
  <c r="BW36" i="11"/>
  <c r="BN54" i="11"/>
  <c r="AB60" i="11"/>
  <c r="AB61" i="11" s="1"/>
  <c r="AJ46" i="11"/>
  <c r="AK46" i="11" s="1"/>
  <c r="AL46" i="11" s="1"/>
  <c r="BP39" i="11"/>
  <c r="BO46" i="11"/>
  <c r="BO48" i="11" s="1"/>
  <c r="BO49" i="11" s="1"/>
  <c r="BO50" i="11" s="1"/>
  <c r="BO53" i="11" s="1"/>
  <c r="AH48" i="11" l="1"/>
  <c r="AJ47" i="11"/>
  <c r="AQ47" i="11" s="1"/>
  <c r="AI47" i="11"/>
  <c r="AK59" i="11"/>
  <c r="BX36" i="11"/>
  <c r="BQ39" i="11"/>
  <c r="BP46" i="11"/>
  <c r="BP48" i="11" s="1"/>
  <c r="BP49" i="11" s="1"/>
  <c r="BP50" i="11" s="1"/>
  <c r="BP53" i="11" s="1"/>
  <c r="AQ46" i="11"/>
  <c r="AR46" i="11" s="1"/>
  <c r="BR52" i="11" s="1"/>
  <c r="BU40" i="11"/>
  <c r="BU42" i="11"/>
  <c r="BO54" i="11"/>
  <c r="AC60" i="11"/>
  <c r="AC61" i="11" s="1"/>
  <c r="V48" i="11"/>
  <c r="U48" i="11"/>
  <c r="BT44" i="11"/>
  <c r="BT45" i="11"/>
  <c r="K51" i="11"/>
  <c r="N50" i="11"/>
  <c r="Q50" i="11" s="1"/>
  <c r="BV37" i="11"/>
  <c r="S50" i="11"/>
  <c r="AA49" i="11"/>
  <c r="Z49" i="11" s="1"/>
  <c r="AC49" i="11" s="1"/>
  <c r="AG49" i="11" s="1"/>
  <c r="T49" i="11"/>
  <c r="AK47" i="11" l="1"/>
  <c r="AL47" i="11" s="1"/>
  <c r="AH49" i="11"/>
  <c r="BU45" i="11"/>
  <c r="BU44" i="11"/>
  <c r="AR47" i="11"/>
  <c r="BS52" i="11"/>
  <c r="BV42" i="11"/>
  <c r="BV40" i="11"/>
  <c r="V49" i="11"/>
  <c r="U49" i="11"/>
  <c r="BP54" i="11"/>
  <c r="AD60" i="11"/>
  <c r="AD61" i="11" s="1"/>
  <c r="AJ48" i="11"/>
  <c r="AQ48" i="11" s="1"/>
  <c r="K52" i="11"/>
  <c r="N51" i="11"/>
  <c r="Q51" i="11" s="1"/>
  <c r="BW37" i="11"/>
  <c r="S51" i="11"/>
  <c r="BR39" i="11"/>
  <c r="BQ46" i="11"/>
  <c r="BQ48" i="11" s="1"/>
  <c r="BQ49" i="11" s="1"/>
  <c r="BQ50" i="11" s="1"/>
  <c r="BQ53" i="11" s="1"/>
  <c r="AI48" i="11"/>
  <c r="T50" i="11"/>
  <c r="AA50" i="11"/>
  <c r="Z50" i="11" s="1"/>
  <c r="AC50" i="11" s="1"/>
  <c r="AG50" i="11" s="1"/>
  <c r="AK48" i="11" l="1"/>
  <c r="AL48" i="11" s="1"/>
  <c r="AR48" i="11" s="1"/>
  <c r="BT52" i="11" s="1"/>
  <c r="AH50" i="11"/>
  <c r="T51" i="11"/>
  <c r="AA51" i="11"/>
  <c r="Z51" i="11" s="1"/>
  <c r="AC51" i="11" s="1"/>
  <c r="AG51" i="11" s="1"/>
  <c r="BS39" i="11"/>
  <c r="BR46" i="11"/>
  <c r="BR48" i="11" s="1"/>
  <c r="BR49" i="11" s="1"/>
  <c r="BR50" i="11" s="1"/>
  <c r="BR53" i="11" s="1"/>
  <c r="U50" i="11"/>
  <c r="V50" i="11"/>
  <c r="N52" i="11"/>
  <c r="Q52" i="11" s="1"/>
  <c r="S52" i="11"/>
  <c r="BX37" i="11"/>
  <c r="BV45" i="11"/>
  <c r="BV44" i="11"/>
  <c r="BW40" i="11"/>
  <c r="BW42" i="11"/>
  <c r="AJ49" i="11"/>
  <c r="AQ49" i="11" s="1"/>
  <c r="BQ54" i="11"/>
  <c r="AE60" i="11"/>
  <c r="AE61" i="11" s="1"/>
  <c r="AI49" i="11"/>
  <c r="AA52" i="11" l="1"/>
  <c r="Z52" i="11" s="1"/>
  <c r="AC52" i="11" s="1"/>
  <c r="AG52" i="11" s="1"/>
  <c r="T52" i="11"/>
  <c r="AH51" i="11"/>
  <c r="BX42" i="11"/>
  <c r="BX40" i="11"/>
  <c r="BT39" i="11"/>
  <c r="BS46" i="11"/>
  <c r="BS48" i="11" s="1"/>
  <c r="BS49" i="11" s="1"/>
  <c r="BS50" i="11" s="1"/>
  <c r="BS53" i="11" s="1"/>
  <c r="BW45" i="11"/>
  <c r="BW44" i="11"/>
  <c r="V51" i="11"/>
  <c r="U51" i="11"/>
  <c r="BR54" i="11"/>
  <c r="AF60" i="11"/>
  <c r="AF61" i="11" s="1"/>
  <c r="AK49" i="11"/>
  <c r="AL49" i="11" s="1"/>
  <c r="AR49" i="11" s="1"/>
  <c r="BU52" i="11" s="1"/>
  <c r="AJ50" i="11"/>
  <c r="AQ50" i="11" s="1"/>
  <c r="AI50" i="11"/>
  <c r="AK50" i="11" l="1"/>
  <c r="AL50" i="11" s="1"/>
  <c r="AR50" i="11" s="1"/>
  <c r="AH52" i="11"/>
  <c r="AJ51" i="11"/>
  <c r="AQ51" i="11" s="1"/>
  <c r="AI51" i="11"/>
  <c r="AG60" i="11"/>
  <c r="AG61" i="11" s="1"/>
  <c r="BS54" i="11"/>
  <c r="V52" i="11"/>
  <c r="U52" i="11"/>
  <c r="BV52" i="11"/>
  <c r="BU39" i="11"/>
  <c r="BT46" i="11"/>
  <c r="BT48" i="11" s="1"/>
  <c r="BT49" i="11" s="1"/>
  <c r="BT50" i="11" s="1"/>
  <c r="BT53" i="11" s="1"/>
  <c r="BX45" i="11"/>
  <c r="BX44" i="11"/>
  <c r="AK51" i="11" l="1"/>
  <c r="AL51" i="11" s="1"/>
  <c r="AR51" i="11" s="1"/>
  <c r="BW52" i="11" s="1"/>
  <c r="AH60" i="11"/>
  <c r="AH61" i="11" s="1"/>
  <c r="BT54" i="11"/>
  <c r="BV39" i="11"/>
  <c r="BU46" i="11"/>
  <c r="BU48" i="11" s="1"/>
  <c r="BU49" i="11" s="1"/>
  <c r="BU50" i="11" s="1"/>
  <c r="BU53" i="11" s="1"/>
  <c r="AJ52" i="11"/>
  <c r="AQ52" i="11" s="1"/>
  <c r="AI52" i="11"/>
  <c r="BW39" i="11" l="1"/>
  <c r="BV46" i="11"/>
  <c r="BV48" i="11" s="1"/>
  <c r="BV49" i="11" s="1"/>
  <c r="BV50" i="11" s="1"/>
  <c r="BV53" i="11" s="1"/>
  <c r="AI60" i="11"/>
  <c r="AI61" i="11" s="1"/>
  <c r="BU54" i="11"/>
  <c r="AK52" i="11"/>
  <c r="AL52" i="11" s="1"/>
  <c r="AR52" i="11" s="1"/>
  <c r="BX52" i="11" s="1"/>
  <c r="BV54" i="11" l="1"/>
  <c r="AJ60" i="11"/>
  <c r="AJ61" i="11" s="1"/>
  <c r="BX39" i="11"/>
  <c r="BX46" i="11" s="1"/>
  <c r="BX48" i="11" s="1"/>
  <c r="BX49" i="11" s="1"/>
  <c r="BX50" i="11" s="1"/>
  <c r="BX53" i="11" s="1"/>
  <c r="BX54" i="11" s="1"/>
  <c r="BW46" i="11"/>
  <c r="BW48" i="11" s="1"/>
  <c r="BW49" i="11" s="1"/>
  <c r="BW50" i="11" s="1"/>
  <c r="BW53" i="11" s="1"/>
  <c r="BW54" i="11" l="1"/>
  <c r="AK60" i="11"/>
  <c r="AK6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asai</author>
    <author>弘中 進也</author>
    <author>sachiko</author>
  </authors>
  <commentList>
    <comment ref="Q7" authorId="0" shapeId="0" xr:uid="{42D9C27D-5C92-4C3C-80D2-E52A0E61F507}">
      <text>
        <r>
          <rPr>
            <b/>
            <sz val="9"/>
            <color indexed="81"/>
            <rFont val="ＭＳ Ｐゴシック"/>
            <family val="3"/>
            <charset val="128"/>
          </rPr>
          <t>ボックスから選んでください
ｗ（木造）
LS（軽量鉄骨造）
S（重量鉄骨造）
RC造（鉄筋コンクリート造）</t>
        </r>
      </text>
    </comment>
    <comment ref="R7" authorId="1" shapeId="0" xr:uid="{C9C26FA8-9E8C-44A8-BD84-E71D9292C797}">
      <text>
        <r>
          <rPr>
            <b/>
            <sz val="9"/>
            <color indexed="81"/>
            <rFont val="MS P ゴシック"/>
            <family val="3"/>
            <charset val="128"/>
          </rPr>
          <t>区分マンションの場合はボックスから「区分マンション」を、区分マンションでない場合は空欄を選んでください</t>
        </r>
      </text>
    </comment>
    <comment ref="Q9" authorId="2" shapeId="0" xr:uid="{5D72F4F5-E75F-4731-8298-AE174C7516C1}">
      <text>
        <r>
          <rPr>
            <b/>
            <sz val="9"/>
            <color indexed="81"/>
            <rFont val="ＭＳ Ｐゴシック"/>
            <family val="3"/>
            <charset val="128"/>
          </rPr>
          <t>端数切り上げ
（2年3か月は3年）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14" authorId="2" shapeId="0" xr:uid="{786797E6-BA03-4484-A6C1-6DAEDC0F58EE}">
      <text>
        <r>
          <rPr>
            <sz val="9"/>
            <color indexed="81"/>
            <rFont val="ＭＳ Ｐゴシック"/>
            <family val="3"/>
            <charset val="128"/>
          </rPr>
          <t xml:space="preserve">CF÷（物件価格÷1億円）
</t>
        </r>
      </text>
    </comment>
    <comment ref="S15" authorId="2" shapeId="0" xr:uid="{BDB6B843-30BB-45D1-91D6-28F1DADD9A99}">
      <text>
        <r>
          <rPr>
            <sz val="9"/>
            <color indexed="81"/>
            <rFont val="ＭＳ Ｐゴシック"/>
            <family val="3"/>
            <charset val="128"/>
          </rPr>
          <t xml:space="preserve">返済比率＝元利返済額÷不動産収入
50％以下⇒安全圏
50％～60％⇒要注意圏
60％～70％⇒慎重に検討圏
70％以上⇒危険圏
</t>
        </r>
      </text>
    </comment>
  </commentList>
</comments>
</file>

<file path=xl/sharedStrings.xml><?xml version="1.0" encoding="utf-8"?>
<sst xmlns="http://schemas.openxmlformats.org/spreadsheetml/2006/main" count="214" uniqueCount="158">
  <si>
    <t>当初</t>
    <rPh sb="0" eb="2">
      <t>トウショ</t>
    </rPh>
    <phoneticPr fontId="1"/>
  </si>
  <si>
    <t>元利返済額</t>
    <rPh sb="0" eb="2">
      <t>ガンリ</t>
    </rPh>
    <rPh sb="2" eb="4">
      <t>ヘンサイ</t>
    </rPh>
    <rPh sb="4" eb="5">
      <t>ガク</t>
    </rPh>
    <phoneticPr fontId="1"/>
  </si>
  <si>
    <t>物件価格</t>
    <rPh sb="0" eb="2">
      <t>ブッケン</t>
    </rPh>
    <rPh sb="2" eb="4">
      <t>カカク</t>
    </rPh>
    <phoneticPr fontId="1"/>
  </si>
  <si>
    <t>購入総額</t>
    <rPh sb="0" eb="2">
      <t>コウニュウ</t>
    </rPh>
    <rPh sb="2" eb="4">
      <t>ソウガク</t>
    </rPh>
    <phoneticPr fontId="1"/>
  </si>
  <si>
    <t>利率</t>
    <rPh sb="0" eb="2">
      <t>リリツ</t>
    </rPh>
    <phoneticPr fontId="1"/>
  </si>
  <si>
    <t>-</t>
    <phoneticPr fontId="1"/>
  </si>
  <si>
    <t>期間</t>
    <rPh sb="0" eb="2">
      <t>キカン</t>
    </rPh>
    <phoneticPr fontId="1"/>
  </si>
  <si>
    <t>（経費率）</t>
    <rPh sb="1" eb="3">
      <t>ケイヒ</t>
    </rPh>
    <rPh sb="3" eb="4">
      <t>リツ</t>
    </rPh>
    <phoneticPr fontId="1"/>
  </si>
  <si>
    <t>不動産収入</t>
    <rPh sb="0" eb="3">
      <t>フドウサン</t>
    </rPh>
    <rPh sb="3" eb="5">
      <t>シュウニュウ</t>
    </rPh>
    <phoneticPr fontId="1"/>
  </si>
  <si>
    <t>不動産支出</t>
    <rPh sb="0" eb="3">
      <t>フドウサン</t>
    </rPh>
    <rPh sb="3" eb="5">
      <t>シシュツ</t>
    </rPh>
    <phoneticPr fontId="1"/>
  </si>
  <si>
    <t>（変動率）</t>
    <rPh sb="1" eb="4">
      <t>ヘンドウリツ</t>
    </rPh>
    <phoneticPr fontId="1"/>
  </si>
  <si>
    <t>（月額）</t>
    <phoneticPr fontId="1"/>
  </si>
  <si>
    <t>借入金残高
（期末）</t>
    <rPh sb="0" eb="2">
      <t>カリイレ</t>
    </rPh>
    <rPh sb="2" eb="3">
      <t>キン</t>
    </rPh>
    <rPh sb="3" eb="5">
      <t>ザンダカ</t>
    </rPh>
    <rPh sb="7" eb="9">
      <t>キマツ</t>
    </rPh>
    <phoneticPr fontId="1"/>
  </si>
  <si>
    <t>うち元本返済分</t>
    <rPh sb="2" eb="4">
      <t>ガンポン</t>
    </rPh>
    <rPh sb="4" eb="6">
      <t>ヘンサイ</t>
    </rPh>
    <rPh sb="6" eb="7">
      <t>ブン</t>
    </rPh>
    <phoneticPr fontId="1"/>
  </si>
  <si>
    <t>うち利息返済分</t>
    <rPh sb="2" eb="4">
      <t>リソク</t>
    </rPh>
    <rPh sb="4" eb="6">
      <t>ヘンサイ</t>
    </rPh>
    <rPh sb="6" eb="7">
      <t>ブン</t>
    </rPh>
    <phoneticPr fontId="1"/>
  </si>
  <si>
    <t>手数料等</t>
    <rPh sb="0" eb="3">
      <t>テスウリョウ</t>
    </rPh>
    <rPh sb="3" eb="4">
      <t>トウ</t>
    </rPh>
    <phoneticPr fontId="1"/>
  </si>
  <si>
    <t>返済額</t>
    <phoneticPr fontId="1"/>
  </si>
  <si>
    <t>契約時</t>
    <rPh sb="0" eb="2">
      <t>ケイヤク</t>
    </rPh>
    <rPh sb="2" eb="3">
      <t>ジ</t>
    </rPh>
    <phoneticPr fontId="1"/>
  </si>
  <si>
    <t>建物価格</t>
    <rPh sb="0" eb="2">
      <t>タテモノ</t>
    </rPh>
    <rPh sb="2" eb="4">
      <t>カカク</t>
    </rPh>
    <phoneticPr fontId="1"/>
  </si>
  <si>
    <t>金利（2）</t>
    <rPh sb="0" eb="2">
      <t>キンリ</t>
    </rPh>
    <phoneticPr fontId="1"/>
  </si>
  <si>
    <t>本業収入</t>
    <rPh sb="0" eb="2">
      <t>ホンギョウ</t>
    </rPh>
    <rPh sb="2" eb="4">
      <t>シュウニュウ</t>
    </rPh>
    <phoneticPr fontId="1"/>
  </si>
  <si>
    <t>総収入</t>
    <rPh sb="0" eb="3">
      <t>ソウシュウニュウ</t>
    </rPh>
    <phoneticPr fontId="1"/>
  </si>
  <si>
    <t>税引前ＣＦ</t>
    <rPh sb="0" eb="2">
      <t>ゼイビキ</t>
    </rPh>
    <rPh sb="2" eb="3">
      <t>マエ</t>
    </rPh>
    <phoneticPr fontId="1"/>
  </si>
  <si>
    <t>不動産収支（1）</t>
    <rPh sb="0" eb="3">
      <t>フドウサン</t>
    </rPh>
    <rPh sb="3" eb="5">
      <t>シュウシ</t>
    </rPh>
    <phoneticPr fontId="1"/>
  </si>
  <si>
    <t>課税所得（不動産収支-金利-減価償却費）</t>
    <rPh sb="0" eb="2">
      <t>カゼイ</t>
    </rPh>
    <rPh sb="2" eb="4">
      <t>ショトク</t>
    </rPh>
    <rPh sb="5" eb="8">
      <t>フドウサン</t>
    </rPh>
    <rPh sb="8" eb="10">
      <t>シュウシ</t>
    </rPh>
    <rPh sb="11" eb="13">
      <t>キンリ</t>
    </rPh>
    <rPh sb="14" eb="16">
      <t>ゲンカ</t>
    </rPh>
    <rPh sb="16" eb="18">
      <t>ショウキャク</t>
    </rPh>
    <rPh sb="18" eb="19">
      <t>ヒ</t>
    </rPh>
    <phoneticPr fontId="1"/>
  </si>
  <si>
    <t>土地価格</t>
    <rPh sb="0" eb="2">
      <t>トチ</t>
    </rPh>
    <rPh sb="2" eb="4">
      <t>カカク</t>
    </rPh>
    <phoneticPr fontId="1"/>
  </si>
  <si>
    <t>　　路線価</t>
    <rPh sb="2" eb="5">
      <t>ロセンカ</t>
    </rPh>
    <phoneticPr fontId="1"/>
  </si>
  <si>
    <t>　　土地面積（㎡）</t>
    <rPh sb="2" eb="4">
      <t>トチ</t>
    </rPh>
    <rPh sb="4" eb="6">
      <t>メンセキ</t>
    </rPh>
    <phoneticPr fontId="1"/>
  </si>
  <si>
    <t>課税</t>
    <rPh sb="0" eb="2">
      <t>カゼイ</t>
    </rPh>
    <phoneticPr fontId="1"/>
  </si>
  <si>
    <t>控除額</t>
    <rPh sb="0" eb="2">
      <t>コウジョ</t>
    </rPh>
    <rPh sb="2" eb="3">
      <t>ガク</t>
    </rPh>
    <phoneticPr fontId="1"/>
  </si>
  <si>
    <t>延床面積（㎡）</t>
    <rPh sb="0" eb="1">
      <t>ノ</t>
    </rPh>
    <rPh sb="1" eb="4">
      <t>ユカメンセキ</t>
    </rPh>
    <phoneticPr fontId="1"/>
  </si>
  <si>
    <t>建物価格+土地価格</t>
    <rPh sb="0" eb="2">
      <t>タテモノ</t>
    </rPh>
    <rPh sb="2" eb="4">
      <t>カカク</t>
    </rPh>
    <rPh sb="5" eb="7">
      <t>トチ</t>
    </rPh>
    <rPh sb="7" eb="9">
      <t>カカク</t>
    </rPh>
    <phoneticPr fontId="1"/>
  </si>
  <si>
    <t>＜土地・建物比率を求めるための計算＞</t>
    <rPh sb="1" eb="3">
      <t>トチ</t>
    </rPh>
    <rPh sb="4" eb="6">
      <t>タテモノ</t>
    </rPh>
    <rPh sb="6" eb="8">
      <t>ヒリツ</t>
    </rPh>
    <rPh sb="9" eb="10">
      <t>モト</t>
    </rPh>
    <rPh sb="15" eb="17">
      <t>ケイサン</t>
    </rPh>
    <phoneticPr fontId="1"/>
  </si>
  <si>
    <t>建物単価（円/㎡）</t>
    <rPh sb="0" eb="2">
      <t>タテモノ</t>
    </rPh>
    <rPh sb="2" eb="4">
      <t>タンカ</t>
    </rPh>
    <rPh sb="5" eb="6">
      <t>エン</t>
    </rPh>
    <phoneticPr fontId="1"/>
  </si>
  <si>
    <t>＜物件価格×土地・建物比率＞</t>
    <rPh sb="1" eb="3">
      <t>ブッケン</t>
    </rPh>
    <rPh sb="3" eb="5">
      <t>カカク</t>
    </rPh>
    <rPh sb="6" eb="8">
      <t>トチ</t>
    </rPh>
    <rPh sb="9" eb="11">
      <t>タテモノ</t>
    </rPh>
    <rPh sb="11" eb="13">
      <t>ヒリツ</t>
    </rPh>
    <phoneticPr fontId="1"/>
  </si>
  <si>
    <t>自己資金</t>
    <rPh sb="0" eb="2">
      <t>ジコ</t>
    </rPh>
    <rPh sb="2" eb="4">
      <t>シキン</t>
    </rPh>
    <phoneticPr fontId="1"/>
  </si>
  <si>
    <t>築年数考慮後</t>
    <rPh sb="0" eb="1">
      <t>チク</t>
    </rPh>
    <rPh sb="1" eb="3">
      <t>ネンスウ</t>
    </rPh>
    <rPh sb="3" eb="5">
      <t>コウリョ</t>
    </rPh>
    <rPh sb="5" eb="6">
      <t>ゴ</t>
    </rPh>
    <phoneticPr fontId="1"/>
  </si>
  <si>
    <t>・減価償却残存期間</t>
    <rPh sb="1" eb="3">
      <t>ゲンカ</t>
    </rPh>
    <rPh sb="3" eb="5">
      <t>ショウキャク</t>
    </rPh>
    <rPh sb="5" eb="7">
      <t>ザンゾン</t>
    </rPh>
    <rPh sb="7" eb="9">
      <t>キカン</t>
    </rPh>
    <phoneticPr fontId="1"/>
  </si>
  <si>
    <t>＊赤字部分を手入力してください</t>
    <rPh sb="1" eb="3">
      <t>アカジ</t>
    </rPh>
    <rPh sb="3" eb="5">
      <t>ブブン</t>
    </rPh>
    <rPh sb="6" eb="7">
      <t>テ</t>
    </rPh>
    <rPh sb="7" eb="9">
      <t>ニュウリョク</t>
    </rPh>
    <phoneticPr fontId="1"/>
  </si>
  <si>
    <t>・法定耐用年数</t>
    <rPh sb="1" eb="3">
      <t>ホウテイ</t>
    </rPh>
    <rPh sb="3" eb="5">
      <t>タイヨウ</t>
    </rPh>
    <rPh sb="5" eb="7">
      <t>ネンスウ</t>
    </rPh>
    <phoneticPr fontId="1"/>
  </si>
  <si>
    <t>・残存耐用年数</t>
    <rPh sb="1" eb="3">
      <t>ザンゾン</t>
    </rPh>
    <rPh sb="3" eb="5">
      <t>タイヨウ</t>
    </rPh>
    <rPh sb="5" eb="7">
      <t>ネンスウ</t>
    </rPh>
    <phoneticPr fontId="1"/>
  </si>
  <si>
    <t>課税給与所得</t>
    <rPh sb="0" eb="2">
      <t>カゼイ</t>
    </rPh>
    <rPh sb="2" eb="4">
      <t>キュウヨ</t>
    </rPh>
    <rPh sb="4" eb="6">
      <t>ショトク</t>
    </rPh>
    <phoneticPr fontId="1"/>
  </si>
  <si>
    <t>（法定耐用年数―経過年数）＋経過年数×20％</t>
    <rPh sb="1" eb="3">
      <t>ホウテイ</t>
    </rPh>
    <rPh sb="3" eb="5">
      <t>タイヨウ</t>
    </rPh>
    <rPh sb="5" eb="7">
      <t>ネンスウ</t>
    </rPh>
    <rPh sb="8" eb="10">
      <t>ケイカ</t>
    </rPh>
    <rPh sb="10" eb="12">
      <t>ネンスウ</t>
    </rPh>
    <rPh sb="14" eb="16">
      <t>ケイカ</t>
    </rPh>
    <rPh sb="16" eb="18">
      <t>ネンスウ</t>
    </rPh>
    <phoneticPr fontId="1"/>
  </si>
  <si>
    <t>（法定耐用年数―経過年数）</t>
    <rPh sb="1" eb="3">
      <t>ホウテイ</t>
    </rPh>
    <rPh sb="3" eb="5">
      <t>タイヨウ</t>
    </rPh>
    <rPh sb="5" eb="7">
      <t>ネンスウ</t>
    </rPh>
    <rPh sb="8" eb="10">
      <t>ケイカ</t>
    </rPh>
    <rPh sb="10" eb="11">
      <t>ネン</t>
    </rPh>
    <rPh sb="11" eb="12">
      <t>スウ</t>
    </rPh>
    <phoneticPr fontId="1"/>
  </si>
  <si>
    <t>返済
比率</t>
    <rPh sb="0" eb="2">
      <t>ヘンサイ</t>
    </rPh>
    <rPh sb="3" eb="5">
      <t>ヒリツ</t>
    </rPh>
    <phoneticPr fontId="1"/>
  </si>
  <si>
    <t>1億円に対するCF（300万円以上が目標）</t>
    <rPh sb="1" eb="3">
      <t>オクエン</t>
    </rPh>
    <rPh sb="4" eb="5">
      <t>タイ</t>
    </rPh>
    <rPh sb="13" eb="15">
      <t>マンエン</t>
    </rPh>
    <rPh sb="15" eb="17">
      <t>イジョウ</t>
    </rPh>
    <rPh sb="18" eb="20">
      <t>モクヒョウ</t>
    </rPh>
    <phoneticPr fontId="1"/>
  </si>
  <si>
    <t>課税不動産所得＋課税給与所得
①</t>
  </si>
  <si>
    <t>税額　（③-④）
⑤</t>
  </si>
  <si>
    <t>手残り
（税引き前CF+給与所得-⑤）</t>
    <rPh sb="5" eb="7">
      <t>ゼイビ</t>
    </rPh>
    <rPh sb="8" eb="9">
      <t>マエ</t>
    </rPh>
    <rPh sb="12" eb="14">
      <t>キュウヨ</t>
    </rPh>
    <rPh sb="14" eb="16">
      <t>ショトク</t>
    </rPh>
    <phoneticPr fontId="1"/>
  </si>
  <si>
    <t>控除額(右の表を参照）
④</t>
    <rPh sb="4" eb="5">
      <t>ミギ</t>
    </rPh>
    <rPh sb="6" eb="7">
      <t>ヒョウ</t>
    </rPh>
    <rPh sb="8" eb="10">
      <t>サンショウ</t>
    </rPh>
    <phoneticPr fontId="1"/>
  </si>
  <si>
    <t>所得税+住民税率
（右の表を参照）
②</t>
    <rPh sb="4" eb="7">
      <t>ジュウミンゼイ</t>
    </rPh>
    <rPh sb="10" eb="11">
      <t>ミギ</t>
    </rPh>
    <rPh sb="12" eb="13">
      <t>ヒョウ</t>
    </rPh>
    <rPh sb="14" eb="16">
      <t>サンショウ</t>
    </rPh>
    <phoneticPr fontId="1"/>
  </si>
  <si>
    <t>課税所得金額</t>
    <rPh sb="0" eb="2">
      <t>カゼイ</t>
    </rPh>
    <rPh sb="2" eb="4">
      <t>ショトク</t>
    </rPh>
    <rPh sb="4" eb="6">
      <t>キンガク</t>
    </rPh>
    <phoneticPr fontId="1"/>
  </si>
  <si>
    <t>＜所得税+住民税　合計税率表＞</t>
    <rPh sb="1" eb="4">
      <t>ショトクゼイ</t>
    </rPh>
    <rPh sb="5" eb="8">
      <t>ジュウミンゼイ</t>
    </rPh>
    <rPh sb="9" eb="11">
      <t>ゴウケイ</t>
    </rPh>
    <rPh sb="11" eb="13">
      <t>ゼイリツ</t>
    </rPh>
    <rPh sb="13" eb="14">
      <t>ヒョウ</t>
    </rPh>
    <phoneticPr fontId="1"/>
  </si>
  <si>
    <t>税引き後
給与所得</t>
    <rPh sb="0" eb="2">
      <t>ゼイビ</t>
    </rPh>
    <rPh sb="3" eb="4">
      <t>ゴ</t>
    </rPh>
    <rPh sb="5" eb="7">
      <t>キュウヨ</t>
    </rPh>
    <rPh sb="7" eb="9">
      <t>ショトク</t>
    </rPh>
    <phoneticPr fontId="1"/>
  </si>
  <si>
    <t>不動産投資によって増えた金額</t>
    <rPh sb="0" eb="3">
      <t>フドウサン</t>
    </rPh>
    <rPh sb="3" eb="5">
      <t>トウシ</t>
    </rPh>
    <rPh sb="9" eb="10">
      <t>フ</t>
    </rPh>
    <rPh sb="12" eb="14">
      <t>キンガク</t>
    </rPh>
    <phoneticPr fontId="1"/>
  </si>
  <si>
    <t>＜売却シミュレーション＞</t>
    <rPh sb="1" eb="3">
      <t>バイキャク</t>
    </rPh>
    <phoneticPr fontId="1"/>
  </si>
  <si>
    <t>A</t>
    <phoneticPr fontId="18"/>
  </si>
  <si>
    <t>売却金額</t>
    <rPh sb="0" eb="2">
      <t>バイキャク</t>
    </rPh>
    <rPh sb="2" eb="4">
      <t>キンガク</t>
    </rPh>
    <phoneticPr fontId="18"/>
  </si>
  <si>
    <t>B</t>
    <phoneticPr fontId="18"/>
  </si>
  <si>
    <t>残債</t>
    <rPh sb="0" eb="2">
      <t>ザンサイ</t>
    </rPh>
    <phoneticPr fontId="18"/>
  </si>
  <si>
    <t>C</t>
    <phoneticPr fontId="18"/>
  </si>
  <si>
    <t>取得費(簿価)</t>
    <rPh sb="0" eb="2">
      <t>シュトク</t>
    </rPh>
    <rPh sb="2" eb="3">
      <t>ヒ</t>
    </rPh>
    <rPh sb="4" eb="6">
      <t>ボカ</t>
    </rPh>
    <phoneticPr fontId="18"/>
  </si>
  <si>
    <t>譲渡費用</t>
    <rPh sb="0" eb="2">
      <t>ジョウト</t>
    </rPh>
    <rPh sb="2" eb="4">
      <t>ヒヨウ</t>
    </rPh>
    <phoneticPr fontId="18"/>
  </si>
  <si>
    <t>仲介手数料(3%+6万円)</t>
    <rPh sb="0" eb="2">
      <t>チュウカイ</t>
    </rPh>
    <rPh sb="2" eb="5">
      <t>テスウリョウ</t>
    </rPh>
    <rPh sb="10" eb="12">
      <t>マンエン</t>
    </rPh>
    <phoneticPr fontId="18"/>
  </si>
  <si>
    <t>抵当権等抹消費用</t>
    <rPh sb="0" eb="3">
      <t>テイトウケン</t>
    </rPh>
    <rPh sb="3" eb="4">
      <t>トウ</t>
    </rPh>
    <rPh sb="4" eb="6">
      <t>マッショウ</t>
    </rPh>
    <rPh sb="6" eb="8">
      <t>ヒヨウ</t>
    </rPh>
    <phoneticPr fontId="18"/>
  </si>
  <si>
    <t>売買契約書 印紙代</t>
    <rPh sb="0" eb="2">
      <t>バイバイ</t>
    </rPh>
    <rPh sb="2" eb="5">
      <t>ケイヤクショ</t>
    </rPh>
    <rPh sb="6" eb="8">
      <t>インシ</t>
    </rPh>
    <rPh sb="8" eb="9">
      <t>ダイ</t>
    </rPh>
    <phoneticPr fontId="18"/>
  </si>
  <si>
    <t>TOTAL（譲渡所得計算用：除違約金）</t>
    <rPh sb="6" eb="8">
      <t>ジョウト</t>
    </rPh>
    <rPh sb="8" eb="10">
      <t>ショトク</t>
    </rPh>
    <rPh sb="10" eb="12">
      <t>ケイサン</t>
    </rPh>
    <rPh sb="12" eb="13">
      <t>ヨウ</t>
    </rPh>
    <rPh sb="14" eb="15">
      <t>ジョ</t>
    </rPh>
    <rPh sb="15" eb="18">
      <t>イヤクキン</t>
    </rPh>
    <phoneticPr fontId="18"/>
  </si>
  <si>
    <t>D</t>
    <phoneticPr fontId="18"/>
  </si>
  <si>
    <t>TOTAL</t>
    <phoneticPr fontId="18"/>
  </si>
  <si>
    <t>A-(C+D)</t>
    <phoneticPr fontId="18"/>
  </si>
  <si>
    <t>税金</t>
    <rPh sb="0" eb="1">
      <t>ゼイ</t>
    </rPh>
    <rPh sb="1" eb="2">
      <t>キン</t>
    </rPh>
    <phoneticPr fontId="18"/>
  </si>
  <si>
    <t>短期39.63％</t>
    <rPh sb="0" eb="2">
      <t>タンキ</t>
    </rPh>
    <phoneticPr fontId="18"/>
  </si>
  <si>
    <t>長期20.315％</t>
    <rPh sb="0" eb="2">
      <t>チョウキ</t>
    </rPh>
    <phoneticPr fontId="18"/>
  </si>
  <si>
    <t>インカム+キャピタル</t>
    <phoneticPr fontId="1"/>
  </si>
  <si>
    <t>譲渡所得(A-C-D)</t>
    <rPh sb="0" eb="2">
      <t>ジョウト</t>
    </rPh>
    <rPh sb="2" eb="4">
      <t>ショトク</t>
    </rPh>
    <phoneticPr fontId="18"/>
  </si>
  <si>
    <t>(A-B-D-税金)</t>
    <rPh sb="7" eb="9">
      <t>ゼイキン</t>
    </rPh>
    <phoneticPr fontId="1"/>
  </si>
  <si>
    <t>キャピタル</t>
    <phoneticPr fontId="1"/>
  </si>
  <si>
    <t>記載金額</t>
  </si>
  <si>
    <t>不動産売買</t>
  </si>
  <si>
    <t>契約書</t>
  </si>
  <si>
    <t>1万円未満</t>
  </si>
  <si>
    <t>非課税</t>
  </si>
  <si>
    <t>10万円以下</t>
  </si>
  <si>
    <t>200円</t>
  </si>
  <si>
    <t>50万円以下</t>
  </si>
  <si>
    <t>100万円以下</t>
  </si>
  <si>
    <t>500円</t>
  </si>
  <si>
    <t>200万円以下</t>
  </si>
  <si>
    <t>1,000円</t>
  </si>
  <si>
    <t>300万円以下</t>
  </si>
  <si>
    <t>500万円以下</t>
  </si>
  <si>
    <t>1,000万円以下</t>
  </si>
  <si>
    <t>5,000円</t>
  </si>
  <si>
    <t>5,000万円以下</t>
  </si>
  <si>
    <t>10,000円</t>
  </si>
  <si>
    <t>1億円以下</t>
  </si>
  <si>
    <t>30,000円</t>
  </si>
  <si>
    <t>5億円以下</t>
  </si>
  <si>
    <t>60,000円</t>
  </si>
  <si>
    <t>10億円以下</t>
  </si>
  <si>
    <t>160,000円</t>
  </si>
  <si>
    <t>50億円以下</t>
  </si>
  <si>
    <t>320,000円</t>
  </si>
  <si>
    <t>50億円超</t>
  </si>
  <si>
    <t>480,000円</t>
  </si>
  <si>
    <t>記載金額のないもの</t>
  </si>
  <si>
    <t>印紙代</t>
    <rPh sb="0" eb="2">
      <t>インシ</t>
    </rPh>
    <rPh sb="2" eb="3">
      <t>ダイ</t>
    </rPh>
    <phoneticPr fontId="1"/>
  </si>
  <si>
    <t>※印紙代自動計算用</t>
    <rPh sb="1" eb="3">
      <t>インシ</t>
    </rPh>
    <rPh sb="3" eb="4">
      <t>ダイ</t>
    </rPh>
    <rPh sb="4" eb="6">
      <t>ジドウ</t>
    </rPh>
    <rPh sb="6" eb="8">
      <t>ケイサン</t>
    </rPh>
    <rPh sb="8" eb="9">
      <t>ヨウ</t>
    </rPh>
    <phoneticPr fontId="1"/>
  </si>
  <si>
    <t>（空室率）</t>
    <rPh sb="1" eb="4">
      <t>クウシツリツ</t>
    </rPh>
    <phoneticPr fontId="1"/>
  </si>
  <si>
    <t xml:space="preserve">給与所得税額の控除額(右の表を参照）
</t>
    <rPh sb="0" eb="2">
      <t>キュウヨ</t>
    </rPh>
    <rPh sb="2" eb="4">
      <t>ショトク</t>
    </rPh>
    <rPh sb="4" eb="6">
      <t>ゼイガク</t>
    </rPh>
    <rPh sb="11" eb="12">
      <t>ミギ</t>
    </rPh>
    <rPh sb="13" eb="14">
      <t>ヒョウ</t>
    </rPh>
    <rPh sb="15" eb="17">
      <t>サンショウ</t>
    </rPh>
    <phoneticPr fontId="1"/>
  </si>
  <si>
    <t>給与所得
税額</t>
    <rPh sb="0" eb="2">
      <t>キュウヨ</t>
    </rPh>
    <rPh sb="2" eb="4">
      <t>ショトク</t>
    </rPh>
    <rPh sb="5" eb="7">
      <t>ゼイガク</t>
    </rPh>
    <phoneticPr fontId="1"/>
  </si>
  <si>
    <t>インカム合計(税引き後）</t>
    <rPh sb="4" eb="6">
      <t>ゴウケイ</t>
    </rPh>
    <rPh sb="7" eb="9">
      <t>ゼイビ</t>
    </rPh>
    <rPh sb="10" eb="11">
      <t>ゴ</t>
    </rPh>
    <phoneticPr fontId="1"/>
  </si>
  <si>
    <t>給与所得のみにかかる所得税＋住民税の税率
（列ABの税率）</t>
    <rPh sb="0" eb="2">
      <t>キュウヨ</t>
    </rPh>
    <rPh sb="2" eb="4">
      <t>ショトク</t>
    </rPh>
    <rPh sb="10" eb="13">
      <t>ショトクゼイ</t>
    </rPh>
    <rPh sb="14" eb="17">
      <t>ジュウミンゼイ</t>
    </rPh>
    <rPh sb="18" eb="20">
      <t>ゼイリツ</t>
    </rPh>
    <rPh sb="22" eb="23">
      <t>レツ</t>
    </rPh>
    <rPh sb="26" eb="28">
      <t>ゼイリツ</t>
    </rPh>
    <phoneticPr fontId="1"/>
  </si>
  <si>
    <t>課税給与所得×税率＝</t>
    <rPh sb="0" eb="2">
      <t>カゼイ</t>
    </rPh>
    <rPh sb="2" eb="4">
      <t>キュウヨ</t>
    </rPh>
    <rPh sb="4" eb="6">
      <t>ショトク</t>
    </rPh>
    <rPh sb="7" eb="9">
      <t>ゼイリツ</t>
    </rPh>
    <phoneticPr fontId="1"/>
  </si>
  <si>
    <t>・構造</t>
    <rPh sb="1" eb="3">
      <t>コウゾウ</t>
    </rPh>
    <phoneticPr fontId="1"/>
  </si>
  <si>
    <t>W</t>
    <phoneticPr fontId="1"/>
  </si>
  <si>
    <t>LS</t>
    <phoneticPr fontId="1"/>
  </si>
  <si>
    <t>S</t>
    <phoneticPr fontId="1"/>
  </si>
  <si>
    <t>RC</t>
    <phoneticPr fontId="1"/>
  </si>
  <si>
    <t>法定耐用年数</t>
    <rPh sb="0" eb="6">
      <t>ホウテイタイヨウネンスウ</t>
    </rPh>
    <phoneticPr fontId="1"/>
  </si>
  <si>
    <t>建築単価</t>
    <rPh sb="0" eb="2">
      <t>ケンチク</t>
    </rPh>
    <rPh sb="2" eb="4">
      <t>タンカ</t>
    </rPh>
    <phoneticPr fontId="1"/>
  </si>
  <si>
    <t>耐用年数超
残存期間</t>
    <rPh sb="0" eb="4">
      <t>タイヨウネンスウ</t>
    </rPh>
    <rPh sb="4" eb="5">
      <t>チョウ</t>
    </rPh>
    <rPh sb="6" eb="8">
      <t>ザンゾン</t>
    </rPh>
    <rPh sb="8" eb="10">
      <t>キカン</t>
    </rPh>
    <phoneticPr fontId="1"/>
  </si>
  <si>
    <r>
      <rPr>
        <b/>
        <sz val="16"/>
        <color rgb="FF0070C0"/>
        <rFont val="ＭＳ Ｐ明朝"/>
        <family val="1"/>
        <charset val="128"/>
      </rPr>
      <t>＜</t>
    </r>
    <r>
      <rPr>
        <b/>
        <sz val="26"/>
        <color rgb="FF0070C0"/>
        <rFont val="ＭＳ Ｐ明朝"/>
        <family val="1"/>
        <charset val="128"/>
      </rPr>
      <t>個人用</t>
    </r>
    <r>
      <rPr>
        <b/>
        <sz val="16"/>
        <color rgb="FF0070C0"/>
        <rFont val="ＭＳ Ｐ明朝"/>
        <family val="1"/>
        <charset val="128"/>
      </rPr>
      <t>　＞</t>
    </r>
    <r>
      <rPr>
        <b/>
        <sz val="16"/>
        <color theme="1"/>
        <rFont val="ＭＳ Ｐ明朝"/>
        <family val="1"/>
        <charset val="128"/>
      </rPr>
      <t>　　</t>
    </r>
    <rPh sb="1" eb="4">
      <t>コジンヨウ</t>
    </rPh>
    <phoneticPr fontId="1"/>
  </si>
  <si>
    <t>土地金利</t>
    <rPh sb="0" eb="2">
      <t>トチ</t>
    </rPh>
    <rPh sb="2" eb="4">
      <t>キンリ</t>
    </rPh>
    <phoneticPr fontId="1"/>
  </si>
  <si>
    <t>暫定課税所得</t>
    <rPh sb="0" eb="2">
      <t>ザンテイ</t>
    </rPh>
    <rPh sb="2" eb="4">
      <t>カゼイ</t>
    </rPh>
    <rPh sb="4" eb="6">
      <t>ショトク</t>
    </rPh>
    <phoneticPr fontId="1"/>
  </si>
  <si>
    <t>課税所得×税率　＝
（①×②＝）③</t>
    <rPh sb="6" eb="7">
      <t>リツ</t>
    </rPh>
    <phoneticPr fontId="1"/>
  </si>
  <si>
    <t>うち経費算入
不可能額(3)</t>
    <rPh sb="2" eb="4">
      <t>ケイヒ</t>
    </rPh>
    <rPh sb="4" eb="6">
      <t>サンニュウ</t>
    </rPh>
    <rPh sb="7" eb="10">
      <t>フカノウ</t>
    </rPh>
    <rPh sb="10" eb="11">
      <t>ガク</t>
    </rPh>
    <phoneticPr fontId="1"/>
  </si>
  <si>
    <t>減価償却（4）</t>
    <rPh sb="0" eb="2">
      <t>ゲンカ</t>
    </rPh>
    <rPh sb="2" eb="4">
      <t>ショウキャク</t>
    </rPh>
    <phoneticPr fontId="1"/>
  </si>
  <si>
    <t>課税所得（1）-（2）+（3）-(4)</t>
    <rPh sb="0" eb="2">
      <t>カゼイ</t>
    </rPh>
    <rPh sb="2" eb="4">
      <t>ショトク</t>
    </rPh>
    <phoneticPr fontId="1"/>
  </si>
  <si>
    <t>　</t>
  </si>
  <si>
    <t>自己資金回収時期</t>
    <rPh sb="0" eb="4">
      <t>ジコシキン</t>
    </rPh>
    <rPh sb="4" eb="6">
      <t>カイシュウ</t>
    </rPh>
    <rPh sb="6" eb="8">
      <t>ジキ</t>
    </rPh>
    <phoneticPr fontId="1"/>
  </si>
  <si>
    <t>※自己資金回収時期検証</t>
    <rPh sb="1" eb="5">
      <t>ジコシキン</t>
    </rPh>
    <rPh sb="5" eb="7">
      <t>カイシュウ</t>
    </rPh>
    <rPh sb="7" eb="9">
      <t>ジキ</t>
    </rPh>
    <rPh sb="9" eb="11">
      <t>ケンショウ</t>
    </rPh>
    <phoneticPr fontId="1"/>
  </si>
  <si>
    <t>時期</t>
    <rPh sb="0" eb="2">
      <t>ジキ</t>
    </rPh>
    <phoneticPr fontId="1"/>
  </si>
  <si>
    <t>差額</t>
    <rPh sb="0" eb="2">
      <t>サガク</t>
    </rPh>
    <phoneticPr fontId="1"/>
  </si>
  <si>
    <t>※土地価格（土地の路線価）＞残債時期検証</t>
    <rPh sb="16" eb="18">
      <t>ジキ</t>
    </rPh>
    <rPh sb="18" eb="20">
      <t>ケンショウ</t>
    </rPh>
    <phoneticPr fontId="1"/>
  </si>
  <si>
    <t>残債</t>
    <rPh sb="0" eb="2">
      <t>ザンサイ</t>
    </rPh>
    <phoneticPr fontId="1"/>
  </si>
  <si>
    <t>「土地価格＞残債」時期</t>
    <phoneticPr fontId="1"/>
  </si>
  <si>
    <t>構造</t>
    <rPh sb="0" eb="2">
      <t>コウゾウ</t>
    </rPh>
    <phoneticPr fontId="1"/>
  </si>
  <si>
    <t>経費率</t>
    <rPh sb="0" eb="3">
      <t>ケイヒリツ</t>
    </rPh>
    <phoneticPr fontId="1"/>
  </si>
  <si>
    <t>※残価率</t>
    <rPh sb="1" eb="4">
      <t>ザンカリツ</t>
    </rPh>
    <phoneticPr fontId="1"/>
  </si>
  <si>
    <t>※Loan to Value（ローン・トゥー・バリュー、総資産有利子負債比率）、借入金残高÷物件価格（本来は各期における時価を用いるが、当初価格を使用）</t>
    <rPh sb="51" eb="53">
      <t>ホンライ</t>
    </rPh>
    <rPh sb="54" eb="56">
      <t>カクキ</t>
    </rPh>
    <rPh sb="60" eb="62">
      <t>ジカ</t>
    </rPh>
    <rPh sb="63" eb="64">
      <t>モチ</t>
    </rPh>
    <rPh sb="68" eb="70">
      <t>トウショ</t>
    </rPh>
    <rPh sb="70" eb="72">
      <t>カカク</t>
    </rPh>
    <rPh sb="73" eb="75">
      <t>シヨウ</t>
    </rPh>
    <phoneticPr fontId="1"/>
  </si>
  <si>
    <t>購入時点</t>
    <rPh sb="0" eb="4">
      <t>コウニュウジテン</t>
    </rPh>
    <phoneticPr fontId="1"/>
  </si>
  <si>
    <t>LTV※
（負債比率）</t>
    <rPh sb="6" eb="10">
      <t>フサイヒリツ</t>
    </rPh>
    <phoneticPr fontId="1"/>
  </si>
  <si>
    <t>W</t>
  </si>
  <si>
    <t>（参考：積算価格）</t>
    <rPh sb="1" eb="3">
      <t>サンコウ</t>
    </rPh>
    <rPh sb="4" eb="8">
      <t>セキサンカカク</t>
    </rPh>
    <phoneticPr fontId="1"/>
  </si>
  <si>
    <t>←残価率を考慮した価格</t>
    <rPh sb="1" eb="4">
      <t>ザンカリツ</t>
    </rPh>
    <rPh sb="5" eb="7">
      <t>コウリョ</t>
    </rPh>
    <rPh sb="9" eb="11">
      <t>カカク</t>
    </rPh>
    <phoneticPr fontId="1"/>
  </si>
  <si>
    <t>建物： 積算価格</t>
    <rPh sb="0" eb="2">
      <t>タテモノ</t>
    </rPh>
    <rPh sb="4" eb="8">
      <t>セキサンカカク</t>
    </rPh>
    <phoneticPr fontId="1"/>
  </si>
  <si>
    <t>自己資金控除後の利益</t>
    <rPh sb="0" eb="7">
      <t>ジコシキンコウジョゴ</t>
    </rPh>
    <rPh sb="8" eb="10">
      <t>リエキ</t>
    </rPh>
    <phoneticPr fontId="1"/>
  </si>
  <si>
    <t>2021/12/1</t>
    <phoneticPr fontId="1"/>
  </si>
  <si>
    <t>（購入時）</t>
    <rPh sb="1" eb="4">
      <t>コウニュウジ</t>
    </rPh>
    <phoneticPr fontId="1"/>
  </si>
  <si>
    <t>←区分マンション、耐用年数越え建物を除く</t>
    <rPh sb="1" eb="3">
      <t>クブン</t>
    </rPh>
    <rPh sb="9" eb="14">
      <t>タイヨウネンスウゴ</t>
    </rPh>
    <rPh sb="15" eb="17">
      <t>タテモノ</t>
    </rPh>
    <rPh sb="18" eb="19">
      <t>ノゾ</t>
    </rPh>
    <phoneticPr fontId="1"/>
  </si>
  <si>
    <t>金利</t>
    <rPh sb="0" eb="2">
      <t>キンリ</t>
    </rPh>
    <phoneticPr fontId="1"/>
  </si>
  <si>
    <t>融資期間</t>
    <rPh sb="0" eb="2">
      <t>ユウシ</t>
    </rPh>
    <rPh sb="2" eb="4">
      <t>キカン</t>
    </rPh>
    <phoneticPr fontId="1"/>
  </si>
  <si>
    <t>融資金額</t>
    <rPh sb="0" eb="4">
      <t>ユウシキンガク</t>
    </rPh>
    <phoneticPr fontId="1"/>
  </si>
  <si>
    <t>・買ったときの利回り</t>
    <rPh sb="1" eb="2">
      <t>カ</t>
    </rPh>
    <rPh sb="7" eb="9">
      <t>リマワ</t>
    </rPh>
    <phoneticPr fontId="1"/>
  </si>
  <si>
    <t>・売るときの利回り</t>
    <rPh sb="1" eb="2">
      <t>ウ</t>
    </rPh>
    <rPh sb="6" eb="8">
      <t>リマワ</t>
    </rPh>
    <phoneticPr fontId="1"/>
  </si>
  <si>
    <t>・築年数（経過年数）</t>
    <rPh sb="1" eb="4">
      <t>チクネンスウ</t>
    </rPh>
    <rPh sb="5" eb="7">
      <t>ケイカ</t>
    </rPh>
    <rPh sb="7" eb="9">
      <t>ネンスウ</t>
    </rPh>
    <phoneticPr fontId="1"/>
  </si>
  <si>
    <t>土地＋建物 ：積算価格</t>
    <rPh sb="0" eb="2">
      <t>トチ</t>
    </rPh>
    <rPh sb="3" eb="5">
      <t>タテモノ</t>
    </rPh>
    <rPh sb="7" eb="9">
      <t>セキサン</t>
    </rPh>
    <rPh sb="9" eb="11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</si>
</sst>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General&quot;年目&quot;"/>
    <numFmt numFmtId="178" formatCode="\(0%\)"/>
    <numFmt numFmtId="179" formatCode="&quot;違&quot;&quot;約&quot;&quot;金&quot;0%"/>
    <numFmt numFmtId="180" formatCode="#,##0&quot;万円以下&quot;"/>
    <numFmt numFmtId="181" formatCode="#,##0&quot;万円超&quot;"/>
    <numFmt numFmtId="182" formatCode="#,##0_ "/>
  </numFmts>
  <fonts count="34"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00206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6"/>
      <color rgb="FF0070C0"/>
      <name val="ＭＳ Ｐ明朝"/>
      <family val="1"/>
      <charset val="128"/>
    </font>
    <font>
      <b/>
      <sz val="26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555555"/>
      <name val="Arial"/>
      <family val="2"/>
    </font>
    <font>
      <sz val="11"/>
      <color rgb="FF555555"/>
      <name val="Arial"/>
      <family val="2"/>
    </font>
    <font>
      <b/>
      <sz val="12"/>
      <color rgb="FF000000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0070C0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b/>
      <sz val="11"/>
      <color theme="0" tint="-0.249977111117893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DFB"/>
        <bgColor indexed="64"/>
      </patternFill>
    </fill>
    <fill>
      <patternFill patternType="solid">
        <fgColor rgb="FFEAF6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rgb="FF7FCFF4"/>
      </left>
      <right style="medium">
        <color rgb="FF7FCFF4"/>
      </right>
      <top style="thick">
        <color rgb="FF7FCFF4"/>
      </top>
      <bottom/>
      <diagonal/>
    </border>
    <border>
      <left style="medium">
        <color rgb="FF7FCFF4"/>
      </left>
      <right style="medium">
        <color rgb="FF7FCFF4"/>
      </right>
      <top style="thick">
        <color rgb="FF7FCFF4"/>
      </top>
      <bottom/>
      <diagonal/>
    </border>
    <border>
      <left style="thick">
        <color rgb="FF7FCFF4"/>
      </left>
      <right style="medium">
        <color rgb="FF7FCFF4"/>
      </right>
      <top/>
      <bottom style="thick">
        <color rgb="FF7FCFF4"/>
      </bottom>
      <diagonal/>
    </border>
    <border>
      <left style="medium">
        <color rgb="FF7FCFF4"/>
      </left>
      <right style="medium">
        <color rgb="FF7FCFF4"/>
      </right>
      <top/>
      <bottom/>
      <diagonal/>
    </border>
    <border>
      <left style="thick">
        <color rgb="FF7FCFF4"/>
      </left>
      <right style="medium">
        <color rgb="FF7FCFF4"/>
      </right>
      <top style="mediumDashed">
        <color rgb="FF7FCFF4"/>
      </top>
      <bottom/>
      <diagonal/>
    </border>
    <border>
      <left style="medium">
        <color rgb="FF7FCFF4"/>
      </left>
      <right style="medium">
        <color rgb="FF7FCFF4"/>
      </right>
      <top style="mediumDashed">
        <color rgb="FF7FCFF4"/>
      </top>
      <bottom/>
      <diagonal/>
    </border>
    <border>
      <left style="medium">
        <color rgb="FF7FCFF4"/>
      </left>
      <right style="medium">
        <color rgb="FF7FCFF4"/>
      </right>
      <top/>
      <bottom style="mediumDashed">
        <color rgb="FF7FCFF4"/>
      </bottom>
      <diagonal/>
    </border>
    <border>
      <left style="medium">
        <color rgb="FF7FCFF4"/>
      </left>
      <right style="thick">
        <color rgb="FF7FCFF4"/>
      </right>
      <top style="mediumDashed">
        <color rgb="FF7FCFF4"/>
      </top>
      <bottom style="mediumDashed">
        <color rgb="FF7FCFF4"/>
      </bottom>
      <diagonal/>
    </border>
    <border>
      <left style="thick">
        <color rgb="FF7FCFF4"/>
      </left>
      <right/>
      <top style="mediumDashed">
        <color rgb="FF7FCFF4"/>
      </top>
      <bottom style="mediumDashed">
        <color rgb="FF7FCFF4"/>
      </bottom>
      <diagonal/>
    </border>
    <border>
      <left style="thick">
        <color rgb="FF7FCFF4"/>
      </left>
      <right/>
      <top style="mediumDashed">
        <color rgb="FF7FCFF4"/>
      </top>
      <bottom style="thick">
        <color rgb="FF7FCFF4"/>
      </bottom>
      <diagonal/>
    </border>
    <border>
      <left style="medium">
        <color rgb="FF7FCFF4"/>
      </left>
      <right style="thick">
        <color rgb="FF7FCFF4"/>
      </right>
      <top style="mediumDashed">
        <color rgb="FF7FCFF4"/>
      </top>
      <bottom style="thick">
        <color rgb="FF7FCFF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17" xfId="0" applyNumberFormat="1" applyBorder="1">
      <alignment vertical="center"/>
    </xf>
    <xf numFmtId="3" fontId="0" fillId="0" borderId="18" xfId="0" applyNumberFormat="1" applyBorder="1">
      <alignment vertical="center"/>
    </xf>
    <xf numFmtId="3" fontId="0" fillId="0" borderId="19" xfId="0" applyNumberFormat="1" applyBorder="1">
      <alignment vertical="center"/>
    </xf>
    <xf numFmtId="3" fontId="0" fillId="0" borderId="13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3" xfId="0" applyNumberFormat="1" applyBorder="1">
      <alignment vertical="center"/>
    </xf>
    <xf numFmtId="177" fontId="0" fillId="0" borderId="23" xfId="0" applyNumberFormat="1" applyBorder="1">
      <alignment vertical="center"/>
    </xf>
    <xf numFmtId="3" fontId="0" fillId="0" borderId="26" xfId="0" applyNumberFormat="1" applyBorder="1">
      <alignment vertical="center"/>
    </xf>
    <xf numFmtId="3" fontId="0" fillId="0" borderId="27" xfId="0" applyNumberFormat="1" applyBorder="1">
      <alignment vertical="center"/>
    </xf>
    <xf numFmtId="3" fontId="0" fillId="0" borderId="28" xfId="0" applyNumberFormat="1" applyBorder="1">
      <alignment vertical="center"/>
    </xf>
    <xf numFmtId="3" fontId="0" fillId="0" borderId="29" xfId="0" applyNumberFormat="1" applyBorder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0" fillId="2" borderId="21" xfId="0" applyNumberFormat="1" applyFill="1" applyBorder="1">
      <alignment vertical="center"/>
    </xf>
    <xf numFmtId="10" fontId="0" fillId="2" borderId="25" xfId="0" applyNumberFormat="1" applyFill="1" applyBorder="1">
      <alignment vertical="center"/>
    </xf>
    <xf numFmtId="10" fontId="0" fillId="2" borderId="22" xfId="0" applyNumberFormat="1" applyFill="1" applyBorder="1">
      <alignment vertical="center"/>
    </xf>
    <xf numFmtId="38" fontId="0" fillId="0" borderId="0" xfId="1" applyFont="1">
      <alignment vertical="center"/>
    </xf>
    <xf numFmtId="176" fontId="0" fillId="0" borderId="0" xfId="2" applyNumberFormat="1" applyFont="1">
      <alignment vertical="center"/>
    </xf>
    <xf numFmtId="38" fontId="0" fillId="0" borderId="21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22" xfId="0" applyNumberFormat="1" applyBorder="1">
      <alignment vertical="center"/>
    </xf>
    <xf numFmtId="38" fontId="0" fillId="0" borderId="23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35" xfId="0" applyBorder="1" applyAlignment="1">
      <alignment horizontal="center" vertical="center"/>
    </xf>
    <xf numFmtId="3" fontId="0" fillId="0" borderId="5" xfId="0" applyNumberFormat="1" applyBorder="1">
      <alignment vertical="center"/>
    </xf>
    <xf numFmtId="9" fontId="0" fillId="0" borderId="35" xfId="0" applyNumberFormat="1" applyBorder="1" applyAlignment="1">
      <alignment horizontal="center" vertical="center"/>
    </xf>
    <xf numFmtId="38" fontId="0" fillId="0" borderId="5" xfId="1" applyFont="1" applyBorder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0" fillId="3" borderId="14" xfId="0" applyFill="1" applyBorder="1" applyAlignment="1">
      <alignment horizontal="center" vertical="center"/>
    </xf>
    <xf numFmtId="38" fontId="0" fillId="4" borderId="9" xfId="0" applyNumberFormat="1" applyFill="1" applyBorder="1">
      <alignment vertical="center"/>
    </xf>
    <xf numFmtId="38" fontId="0" fillId="4" borderId="9" xfId="1" applyFont="1" applyFill="1" applyBorder="1">
      <alignment vertical="center"/>
    </xf>
    <xf numFmtId="0" fontId="0" fillId="4" borderId="9" xfId="0" applyFill="1" applyBorder="1">
      <alignment vertical="center"/>
    </xf>
    <xf numFmtId="38" fontId="0" fillId="4" borderId="23" xfId="0" applyNumberFormat="1" applyFill="1" applyBorder="1">
      <alignment vertical="center"/>
    </xf>
    <xf numFmtId="0" fontId="0" fillId="4" borderId="23" xfId="0" applyFill="1" applyBorder="1">
      <alignment vertical="center"/>
    </xf>
    <xf numFmtId="38" fontId="0" fillId="4" borderId="10" xfId="0" applyNumberFormat="1" applyFill="1" applyBorder="1">
      <alignment vertical="center"/>
    </xf>
    <xf numFmtId="0" fontId="0" fillId="4" borderId="10" xfId="0" applyFill="1" applyBorder="1">
      <alignment vertical="center"/>
    </xf>
    <xf numFmtId="38" fontId="0" fillId="0" borderId="6" xfId="1" applyFont="1" applyBorder="1">
      <alignment vertical="center"/>
    </xf>
    <xf numFmtId="0" fontId="0" fillId="0" borderId="18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 applyAlignment="1">
      <alignment horizontal="left" vertical="center"/>
    </xf>
    <xf numFmtId="38" fontId="0" fillId="4" borderId="23" xfId="1" applyFont="1" applyFill="1" applyBorder="1">
      <alignment vertical="center"/>
    </xf>
    <xf numFmtId="38" fontId="0" fillId="4" borderId="10" xfId="1" applyFont="1" applyFill="1" applyBorder="1">
      <alignment vertical="center"/>
    </xf>
    <xf numFmtId="0" fontId="0" fillId="4" borderId="37" xfId="0" applyFill="1" applyBorder="1">
      <alignment vertical="center"/>
    </xf>
    <xf numFmtId="38" fontId="0" fillId="4" borderId="37" xfId="1" applyFont="1" applyFill="1" applyBorder="1">
      <alignment vertical="center"/>
    </xf>
    <xf numFmtId="9" fontId="0" fillId="0" borderId="38" xfId="2" applyFont="1" applyBorder="1">
      <alignment vertical="center"/>
    </xf>
    <xf numFmtId="38" fontId="0" fillId="0" borderId="38" xfId="1" applyFont="1" applyBorder="1">
      <alignment vertical="center"/>
    </xf>
    <xf numFmtId="9" fontId="0" fillId="0" borderId="39" xfId="2" applyFont="1" applyBorder="1">
      <alignment vertical="center"/>
    </xf>
    <xf numFmtId="38" fontId="0" fillId="0" borderId="39" xfId="1" applyFont="1" applyBorder="1">
      <alignment vertical="center"/>
    </xf>
    <xf numFmtId="9" fontId="0" fillId="0" borderId="40" xfId="2" applyFont="1" applyBorder="1">
      <alignment vertical="center"/>
    </xf>
    <xf numFmtId="38" fontId="0" fillId="0" borderId="40" xfId="1" applyFont="1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178" fontId="0" fillId="0" borderId="2" xfId="0" applyNumberFormat="1" applyBorder="1">
      <alignment vertical="center"/>
    </xf>
    <xf numFmtId="178" fontId="0" fillId="0" borderId="7" xfId="0" applyNumberFormat="1" applyBorder="1">
      <alignment vertical="center"/>
    </xf>
    <xf numFmtId="38" fontId="0" fillId="0" borderId="23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0" fontId="4" fillId="0" borderId="0" xfId="0" applyFont="1">
      <alignment vertical="center"/>
    </xf>
    <xf numFmtId="10" fontId="4" fillId="0" borderId="0" xfId="2" applyNumberFormat="1" applyFont="1">
      <alignment vertical="center"/>
    </xf>
    <xf numFmtId="3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9" fontId="4" fillId="0" borderId="35" xfId="0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left" vertical="center" shrinkToFit="1"/>
    </xf>
    <xf numFmtId="0" fontId="4" fillId="0" borderId="6" xfId="0" applyFont="1" applyBorder="1">
      <alignment vertical="center"/>
    </xf>
    <xf numFmtId="38" fontId="4" fillId="4" borderId="9" xfId="0" applyNumberFormat="1" applyFont="1" applyFill="1" applyBorder="1">
      <alignment vertical="center"/>
    </xf>
    <xf numFmtId="0" fontId="9" fillId="0" borderId="0" xfId="0" applyFont="1">
      <alignment vertical="center"/>
    </xf>
    <xf numFmtId="38" fontId="0" fillId="4" borderId="42" xfId="1" applyFont="1" applyFill="1" applyBorder="1">
      <alignment vertical="center"/>
    </xf>
    <xf numFmtId="38" fontId="10" fillId="0" borderId="0" xfId="1" applyFont="1">
      <alignment vertical="center"/>
    </xf>
    <xf numFmtId="0" fontId="0" fillId="0" borderId="25" xfId="0" applyBorder="1">
      <alignment vertical="center"/>
    </xf>
    <xf numFmtId="38" fontId="12" fillId="0" borderId="14" xfId="1" applyFont="1" applyBorder="1" applyAlignment="1">
      <alignment horizontal="center" vertical="center"/>
    </xf>
    <xf numFmtId="38" fontId="12" fillId="0" borderId="9" xfId="1" applyFont="1" applyBorder="1">
      <alignment vertical="center"/>
    </xf>
    <xf numFmtId="38" fontId="12" fillId="0" borderId="23" xfId="1" applyFont="1" applyBorder="1">
      <alignment vertical="center"/>
    </xf>
    <xf numFmtId="38" fontId="12" fillId="0" borderId="10" xfId="1" applyFont="1" applyBorder="1">
      <alignment vertical="center"/>
    </xf>
    <xf numFmtId="38" fontId="13" fillId="0" borderId="6" xfId="1" applyFont="1" applyBorder="1">
      <alignment vertical="center"/>
    </xf>
    <xf numFmtId="38" fontId="13" fillId="0" borderId="23" xfId="1" applyFont="1" applyBorder="1">
      <alignment vertical="center"/>
    </xf>
    <xf numFmtId="38" fontId="13" fillId="0" borderId="9" xfId="1" applyFont="1" applyBorder="1">
      <alignment vertical="center"/>
    </xf>
    <xf numFmtId="38" fontId="13" fillId="0" borderId="10" xfId="1" applyFont="1" applyBorder="1">
      <alignment vertical="center"/>
    </xf>
    <xf numFmtId="10" fontId="13" fillId="0" borderId="34" xfId="0" applyNumberFormat="1" applyFont="1" applyBorder="1" applyAlignment="1">
      <alignment horizontal="center" vertical="center"/>
    </xf>
    <xf numFmtId="176" fontId="13" fillId="0" borderId="21" xfId="2" applyNumberFormat="1" applyFont="1" applyBorder="1">
      <alignment vertical="center"/>
    </xf>
    <xf numFmtId="176" fontId="13" fillId="0" borderId="25" xfId="2" applyNumberFormat="1" applyFont="1" applyBorder="1">
      <alignment vertical="center"/>
    </xf>
    <xf numFmtId="176" fontId="13" fillId="0" borderId="22" xfId="2" applyNumberFormat="1" applyFont="1" applyBorder="1">
      <alignment vertical="center"/>
    </xf>
    <xf numFmtId="0" fontId="8" fillId="0" borderId="0" xfId="0" applyFont="1">
      <alignment vertical="center"/>
    </xf>
    <xf numFmtId="10" fontId="4" fillId="0" borderId="5" xfId="0" applyNumberFormat="1" applyFont="1" applyBorder="1">
      <alignment vertical="center"/>
    </xf>
    <xf numFmtId="1" fontId="8" fillId="0" borderId="0" xfId="0" applyNumberFormat="1" applyFont="1">
      <alignment vertical="center"/>
    </xf>
    <xf numFmtId="38" fontId="4" fillId="4" borderId="23" xfId="0" applyNumberFormat="1" applyFont="1" applyFill="1" applyBorder="1">
      <alignment vertical="center"/>
    </xf>
    <xf numFmtId="38" fontId="4" fillId="4" borderId="10" xfId="0" applyNumberFormat="1" applyFont="1" applyFill="1" applyBorder="1">
      <alignment vertical="center"/>
    </xf>
    <xf numFmtId="38" fontId="0" fillId="4" borderId="43" xfId="1" applyFont="1" applyFill="1" applyBorder="1">
      <alignment vertical="center"/>
    </xf>
    <xf numFmtId="38" fontId="0" fillId="4" borderId="6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4" fillId="0" borderId="6" xfId="1" applyFont="1" applyBorder="1">
      <alignment vertical="center"/>
    </xf>
    <xf numFmtId="0" fontId="0" fillId="5" borderId="1" xfId="0" applyFill="1" applyBorder="1" applyAlignment="1"/>
    <xf numFmtId="0" fontId="0" fillId="5" borderId="2" xfId="0" applyFill="1" applyBorder="1" applyAlignment="1"/>
    <xf numFmtId="14" fontId="17" fillId="5" borderId="37" xfId="0" applyNumberFormat="1" applyFont="1" applyFill="1" applyBorder="1" applyAlignment="1">
      <alignment horizontal="left"/>
    </xf>
    <xf numFmtId="0" fontId="17" fillId="4" borderId="4" xfId="0" applyFont="1" applyFill="1" applyBorder="1" applyAlignment="1"/>
    <xf numFmtId="0" fontId="17" fillId="4" borderId="5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38" fontId="0" fillId="0" borderId="37" xfId="1" applyFont="1" applyBorder="1" applyAlignment="1"/>
    <xf numFmtId="38" fontId="0" fillId="0" borderId="10" xfId="1" applyFont="1" applyBorder="1" applyAlignment="1"/>
    <xf numFmtId="0" fontId="0" fillId="0" borderId="23" xfId="0" applyBorder="1" applyAlignment="1"/>
    <xf numFmtId="0" fontId="0" fillId="0" borderId="37" xfId="0" applyBorder="1" applyAlignment="1"/>
    <xf numFmtId="0" fontId="0" fillId="0" borderId="9" xfId="0" applyBorder="1" applyAlignment="1"/>
    <xf numFmtId="38" fontId="0" fillId="0" borderId="23" xfId="1" applyFont="1" applyBorder="1" applyAlignment="1"/>
    <xf numFmtId="0" fontId="0" fillId="0" borderId="17" xfId="0" applyBorder="1" applyAlignment="1"/>
    <xf numFmtId="179" fontId="0" fillId="0" borderId="37" xfId="2" applyNumberFormat="1" applyFont="1" applyBorder="1" applyAlignment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19" fillId="0" borderId="1" xfId="0" applyFont="1" applyBorder="1" applyAlignment="1"/>
    <xf numFmtId="0" fontId="19" fillId="0" borderId="37" xfId="0" applyFont="1" applyBorder="1" applyAlignment="1"/>
    <xf numFmtId="38" fontId="19" fillId="0" borderId="37" xfId="1" applyFont="1" applyBorder="1" applyAlignment="1"/>
    <xf numFmtId="0" fontId="19" fillId="0" borderId="17" xfId="0" applyFont="1" applyBorder="1" applyAlignment="1"/>
    <xf numFmtId="0" fontId="20" fillId="0" borderId="37" xfId="0" applyFont="1" applyBorder="1" applyAlignment="1"/>
    <xf numFmtId="0" fontId="19" fillId="0" borderId="18" xfId="0" applyFont="1" applyBorder="1" applyAlignment="1"/>
    <xf numFmtId="0" fontId="19" fillId="0" borderId="5" xfId="0" applyFont="1" applyBorder="1" applyAlignment="1"/>
    <xf numFmtId="38" fontId="19" fillId="0" borderId="37" xfId="0" applyNumberFormat="1" applyFont="1" applyBorder="1" applyAlignment="1"/>
    <xf numFmtId="0" fontId="17" fillId="5" borderId="18" xfId="0" applyFont="1" applyFill="1" applyBorder="1" applyAlignment="1"/>
    <xf numFmtId="0" fontId="17" fillId="5" borderId="5" xfId="0" applyFont="1" applyFill="1" applyBorder="1" applyAlignment="1"/>
    <xf numFmtId="38" fontId="17" fillId="5" borderId="10" xfId="0" applyNumberFormat="1" applyFont="1" applyFill="1" applyBorder="1" applyAlignment="1"/>
    <xf numFmtId="38" fontId="0" fillId="6" borderId="37" xfId="0" applyNumberFormat="1" applyFill="1" applyBorder="1">
      <alignment vertical="center"/>
    </xf>
    <xf numFmtId="38" fontId="5" fillId="5" borderId="37" xfId="0" applyNumberFormat="1" applyFont="1" applyFill="1" applyBorder="1">
      <alignment vertical="center"/>
    </xf>
    <xf numFmtId="0" fontId="22" fillId="7" borderId="45" xfId="0" applyFont="1" applyFill="1" applyBorder="1" applyAlignment="1">
      <alignment horizontal="center" vertical="center" wrapText="1"/>
    </xf>
    <xf numFmtId="0" fontId="22" fillId="7" borderId="47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left" vertical="center" wrapText="1"/>
    </xf>
    <xf numFmtId="0" fontId="23" fillId="0" borderId="45" xfId="0" applyFont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left" vertical="center" wrapText="1"/>
    </xf>
    <xf numFmtId="0" fontId="23" fillId="0" borderId="51" xfId="0" applyFont="1" applyBorder="1" applyAlignment="1">
      <alignment horizontal="right" vertical="center" wrapText="1"/>
    </xf>
    <xf numFmtId="10" fontId="8" fillId="0" borderId="0" xfId="2" applyNumberFormat="1" applyFont="1">
      <alignment vertical="center"/>
    </xf>
    <xf numFmtId="180" fontId="0" fillId="0" borderId="55" xfId="0" applyNumberFormat="1" applyBorder="1">
      <alignment vertical="center"/>
    </xf>
    <xf numFmtId="0" fontId="0" fillId="0" borderId="56" xfId="0" applyBorder="1">
      <alignment vertical="center"/>
    </xf>
    <xf numFmtId="181" fontId="0" fillId="0" borderId="57" xfId="0" applyNumberFormat="1" applyBorder="1">
      <alignment vertical="center"/>
    </xf>
    <xf numFmtId="180" fontId="0" fillId="0" borderId="58" xfId="0" applyNumberFormat="1" applyBorder="1">
      <alignment vertical="center"/>
    </xf>
    <xf numFmtId="181" fontId="0" fillId="0" borderId="59" xfId="0" applyNumberFormat="1" applyBorder="1">
      <alignment vertical="center"/>
    </xf>
    <xf numFmtId="0" fontId="0" fillId="0" borderId="60" xfId="0" applyBorder="1">
      <alignment vertical="center"/>
    </xf>
    <xf numFmtId="38" fontId="19" fillId="0" borderId="37" xfId="1" applyFont="1" applyBorder="1" applyAlignment="1">
      <alignment horizontal="right"/>
    </xf>
    <xf numFmtId="9" fontId="8" fillId="4" borderId="9" xfId="2" applyFont="1" applyFill="1" applyBorder="1">
      <alignment vertical="center"/>
    </xf>
    <xf numFmtId="9" fontId="8" fillId="4" borderId="9" xfId="0" applyNumberFormat="1" applyFont="1" applyFill="1" applyBorder="1">
      <alignment vertical="center"/>
    </xf>
    <xf numFmtId="9" fontId="8" fillId="4" borderId="23" xfId="0" applyNumberFormat="1" applyFont="1" applyFill="1" applyBorder="1">
      <alignment vertical="center"/>
    </xf>
    <xf numFmtId="9" fontId="8" fillId="4" borderId="10" xfId="0" applyNumberFormat="1" applyFont="1" applyFill="1" applyBorder="1">
      <alignment vertical="center"/>
    </xf>
    <xf numFmtId="38" fontId="8" fillId="4" borderId="9" xfId="1" applyFont="1" applyFill="1" applyBorder="1">
      <alignment vertical="center"/>
    </xf>
    <xf numFmtId="38" fontId="8" fillId="4" borderId="23" xfId="1" applyFont="1" applyFill="1" applyBorder="1">
      <alignment vertical="center"/>
    </xf>
    <xf numFmtId="38" fontId="8" fillId="4" borderId="10" xfId="1" applyFont="1" applyFill="1" applyBorder="1">
      <alignment vertical="center"/>
    </xf>
    <xf numFmtId="9" fontId="8" fillId="9" borderId="9" xfId="2" applyFont="1" applyFill="1" applyBorder="1">
      <alignment vertical="center"/>
    </xf>
    <xf numFmtId="38" fontId="8" fillId="9" borderId="9" xfId="1" applyFont="1" applyFill="1" applyBorder="1">
      <alignment vertical="center"/>
    </xf>
    <xf numFmtId="38" fontId="0" fillId="9" borderId="42" xfId="1" applyFont="1" applyFill="1" applyBorder="1">
      <alignment vertical="center"/>
    </xf>
    <xf numFmtId="9" fontId="0" fillId="9" borderId="9" xfId="2" applyFont="1" applyFill="1" applyBorder="1">
      <alignment vertical="center"/>
    </xf>
    <xf numFmtId="38" fontId="0" fillId="9" borderId="9" xfId="1" applyFont="1" applyFill="1" applyBorder="1">
      <alignment vertical="center"/>
    </xf>
    <xf numFmtId="9" fontId="0" fillId="9" borderId="10" xfId="2" applyFont="1" applyFill="1" applyBorder="1">
      <alignment vertical="center"/>
    </xf>
    <xf numFmtId="38" fontId="0" fillId="9" borderId="10" xfId="1" applyFont="1" applyFill="1" applyBorder="1">
      <alignment vertical="center"/>
    </xf>
    <xf numFmtId="38" fontId="8" fillId="9" borderId="10" xfId="1" applyFont="1" applyFill="1" applyBorder="1">
      <alignment vertical="center"/>
    </xf>
    <xf numFmtId="38" fontId="0" fillId="9" borderId="23" xfId="1" applyFont="1" applyFill="1" applyBorder="1">
      <alignment vertical="center"/>
    </xf>
    <xf numFmtId="0" fontId="0" fillId="0" borderId="37" xfId="0" applyBorder="1">
      <alignment vertical="center"/>
    </xf>
    <xf numFmtId="0" fontId="0" fillId="4" borderId="37" xfId="0" applyFill="1" applyBorder="1" applyAlignment="1">
      <alignment vertical="center" shrinkToFit="1"/>
    </xf>
    <xf numFmtId="38" fontId="0" fillId="0" borderId="37" xfId="1" applyFont="1" applyBorder="1">
      <alignment vertical="center"/>
    </xf>
    <xf numFmtId="38" fontId="0" fillId="0" borderId="2" xfId="1" applyFont="1" applyBorder="1" applyAlignment="1">
      <alignment horizontal="right" vertical="center" shrinkToFit="1"/>
    </xf>
    <xf numFmtId="38" fontId="8" fillId="0" borderId="3" xfId="1" applyFont="1" applyBorder="1">
      <alignment vertical="center"/>
    </xf>
    <xf numFmtId="0" fontId="28" fillId="4" borderId="37" xfId="0" applyFont="1" applyFill="1" applyBorder="1" applyAlignment="1">
      <alignment vertical="center" wrapText="1" shrinkToFit="1"/>
    </xf>
    <xf numFmtId="38" fontId="4" fillId="0" borderId="0" xfId="1" applyFont="1" applyBorder="1" applyAlignment="1">
      <alignment horizontal="right" vertical="center" shrinkToFit="1"/>
    </xf>
    <xf numFmtId="0" fontId="0" fillId="10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 shrinkToFit="1"/>
    </xf>
    <xf numFmtId="0" fontId="0" fillId="10" borderId="14" xfId="0" applyFill="1" applyBorder="1" applyAlignment="1">
      <alignment horizontal="center" vertical="center" shrinkToFit="1"/>
    </xf>
    <xf numFmtId="38" fontId="0" fillId="10" borderId="9" xfId="0" applyNumberFormat="1" applyFill="1" applyBorder="1">
      <alignment vertical="center"/>
    </xf>
    <xf numFmtId="38" fontId="0" fillId="10" borderId="23" xfId="0" applyNumberFormat="1" applyFill="1" applyBorder="1">
      <alignment vertical="center"/>
    </xf>
    <xf numFmtId="38" fontId="0" fillId="10" borderId="10" xfId="0" applyNumberFormat="1" applyFill="1" applyBorder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3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shrinkToFit="1"/>
    </xf>
    <xf numFmtId="38" fontId="0" fillId="0" borderId="0" xfId="0" applyNumberFormat="1" applyAlignment="1">
      <alignment horizontal="center" vertical="center" shrinkToFit="1"/>
    </xf>
    <xf numFmtId="3" fontId="0" fillId="0" borderId="0" xfId="0" applyNumberFormat="1" applyAlignment="1">
      <alignment horizontal="center" vertical="center"/>
    </xf>
    <xf numFmtId="38" fontId="0" fillId="0" borderId="41" xfId="1" applyFont="1" applyFill="1" applyBorder="1">
      <alignment vertical="center"/>
    </xf>
    <xf numFmtId="9" fontId="0" fillId="0" borderId="0" xfId="0" applyNumberFormat="1" applyAlignment="1">
      <alignment horizontal="center" vertical="center"/>
    </xf>
    <xf numFmtId="10" fontId="0" fillId="2" borderId="33" xfId="0" applyNumberFormat="1" applyFill="1" applyBorder="1">
      <alignment vertical="center"/>
    </xf>
    <xf numFmtId="3" fontId="0" fillId="9" borderId="14" xfId="0" applyNumberFormat="1" applyFill="1" applyBorder="1">
      <alignment vertical="center"/>
    </xf>
    <xf numFmtId="3" fontId="0" fillId="9" borderId="9" xfId="0" applyNumberFormat="1" applyFill="1" applyBorder="1">
      <alignment vertical="center"/>
    </xf>
    <xf numFmtId="3" fontId="0" fillId="9" borderId="10" xfId="0" applyNumberFormat="1" applyFill="1" applyBorder="1">
      <alignment vertical="center"/>
    </xf>
    <xf numFmtId="38" fontId="0" fillId="0" borderId="8" xfId="0" applyNumberFormat="1" applyBorder="1" applyAlignment="1">
      <alignment horizontal="right" vertical="center"/>
    </xf>
    <xf numFmtId="10" fontId="12" fillId="9" borderId="13" xfId="0" applyNumberFormat="1" applyFont="1" applyFill="1" applyBorder="1">
      <alignment vertical="center"/>
    </xf>
    <xf numFmtId="10" fontId="12" fillId="2" borderId="61" xfId="0" applyNumberFormat="1" applyFont="1" applyFill="1" applyBorder="1">
      <alignment vertical="center"/>
    </xf>
    <xf numFmtId="3" fontId="0" fillId="0" borderId="0" xfId="0" applyNumberFormat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9" fontId="27" fillId="5" borderId="0" xfId="0" applyNumberFormat="1" applyFont="1" applyFill="1" applyAlignment="1">
      <alignment horizontal="left" vertical="center"/>
    </xf>
    <xf numFmtId="38" fontId="0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9" xfId="2" applyNumberFormat="1" applyFont="1" applyBorder="1" applyAlignment="1">
      <alignment horizontal="center" vertical="center"/>
    </xf>
    <xf numFmtId="176" fontId="0" fillId="0" borderId="23" xfId="2" applyNumberFormat="1" applyFont="1" applyBorder="1" applyAlignment="1">
      <alignment horizontal="center" vertical="center"/>
    </xf>
    <xf numFmtId="176" fontId="0" fillId="0" borderId="10" xfId="2" applyNumberFormat="1" applyFont="1" applyBorder="1" applyAlignment="1">
      <alignment horizontal="center" vertical="center"/>
    </xf>
    <xf numFmtId="38" fontId="0" fillId="0" borderId="0" xfId="1" applyFont="1" applyBorder="1" applyAlignment="1"/>
    <xf numFmtId="38" fontId="19" fillId="0" borderId="0" xfId="1" applyFont="1" applyBorder="1" applyAlignment="1">
      <alignment horizontal="right"/>
    </xf>
    <xf numFmtId="38" fontId="19" fillId="0" borderId="0" xfId="1" applyFont="1" applyBorder="1" applyAlignment="1"/>
    <xf numFmtId="3" fontId="4" fillId="0" borderId="5" xfId="0" quotePrefix="1" applyNumberFormat="1" applyFont="1" applyBorder="1" applyAlignment="1">
      <alignment horizontal="right" vertical="center"/>
    </xf>
    <xf numFmtId="178" fontId="8" fillId="0" borderId="7" xfId="2" applyNumberFormat="1" applyFont="1" applyFill="1" applyBorder="1" applyAlignment="1">
      <alignment horizontal="left" vertical="center" shrinkToFit="1"/>
    </xf>
    <xf numFmtId="38" fontId="0" fillId="0" borderId="8" xfId="1" applyFont="1" applyFill="1" applyBorder="1" applyAlignment="1">
      <alignment horizontal="right" vertical="center"/>
    </xf>
    <xf numFmtId="14" fontId="30" fillId="5" borderId="37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Alignment="1">
      <alignment vertical="center" shrinkToFit="1"/>
    </xf>
    <xf numFmtId="3" fontId="0" fillId="0" borderId="0" xfId="0" applyNumberFormat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 shrinkToFit="1"/>
    </xf>
    <xf numFmtId="38" fontId="7" fillId="0" borderId="0" xfId="0" applyNumberFormat="1" applyFont="1" applyAlignment="1">
      <alignment horizontal="center" vertical="center" shrinkToFit="1"/>
    </xf>
    <xf numFmtId="182" fontId="7" fillId="0" borderId="0" xfId="0" applyNumberFormat="1" applyFont="1" applyAlignment="1">
      <alignment horizontal="center" vertical="center" shrinkToFit="1"/>
    </xf>
    <xf numFmtId="182" fontId="0" fillId="0" borderId="0" xfId="0" applyNumberFormat="1" applyAlignment="1">
      <alignment horizontal="center" vertical="center" shrinkToFit="1"/>
    </xf>
    <xf numFmtId="10" fontId="0" fillId="11" borderId="10" xfId="0" applyNumberFormat="1" applyFill="1" applyBorder="1">
      <alignment vertical="center"/>
    </xf>
    <xf numFmtId="10" fontId="0" fillId="2" borderId="32" xfId="0" applyNumberFormat="1" applyFill="1" applyBorder="1">
      <alignment vertical="center"/>
    </xf>
    <xf numFmtId="10" fontId="0" fillId="11" borderId="9" xfId="0" applyNumberFormat="1" applyFill="1" applyBorder="1">
      <alignment vertical="center"/>
    </xf>
    <xf numFmtId="0" fontId="0" fillId="11" borderId="23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10" fontId="12" fillId="11" borderId="14" xfId="0" applyNumberFormat="1" applyFont="1" applyFill="1" applyBorder="1">
      <alignment vertical="center"/>
    </xf>
    <xf numFmtId="176" fontId="31" fillId="0" borderId="0" xfId="2" applyNumberFormat="1" applyFont="1">
      <alignment vertical="center"/>
    </xf>
    <xf numFmtId="0" fontId="31" fillId="0" borderId="0" xfId="0" applyFont="1">
      <alignment vertical="center"/>
    </xf>
    <xf numFmtId="38" fontId="31" fillId="0" borderId="2" xfId="1" applyFont="1" applyBorder="1">
      <alignment vertical="center"/>
    </xf>
    <xf numFmtId="3" fontId="31" fillId="0" borderId="0" xfId="0" applyNumberFormat="1" applyFont="1">
      <alignment vertical="center"/>
    </xf>
    <xf numFmtId="0" fontId="31" fillId="0" borderId="2" xfId="0" applyFont="1" applyBorder="1">
      <alignment vertical="center"/>
    </xf>
    <xf numFmtId="38" fontId="0" fillId="0" borderId="37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23" fillId="0" borderId="49" xfId="0" applyFont="1" applyBorder="1" applyAlignment="1">
      <alignment horizontal="right" vertical="center" wrapText="1"/>
    </xf>
    <xf numFmtId="0" fontId="22" fillId="8" borderId="52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14" fontId="0" fillId="0" borderId="41" xfId="0" applyNumberFormat="1" applyBorder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41" xfId="0" applyNumberFormat="1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5" xfId="0" applyBorder="1">
      <alignment vertical="center"/>
    </xf>
    <xf numFmtId="14" fontId="17" fillId="5" borderId="0" xfId="0" applyNumberFormat="1" applyFont="1" applyFill="1" applyAlignment="1">
      <alignment horizontal="left"/>
    </xf>
    <xf numFmtId="38" fontId="0" fillId="4" borderId="0" xfId="0" applyNumberFormat="1" applyFill="1">
      <alignment vertical="center"/>
    </xf>
    <xf numFmtId="10" fontId="0" fillId="0" borderId="14" xfId="0" applyNumberFormat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10" fontId="0" fillId="0" borderId="9" xfId="0" applyNumberFormat="1" applyBorder="1" applyAlignment="1">
      <alignment horizontal="center" vertical="center"/>
    </xf>
    <xf numFmtId="10" fontId="0" fillId="2" borderId="0" xfId="0" applyNumberFormat="1" applyFill="1">
      <alignment vertical="center"/>
    </xf>
    <xf numFmtId="10" fontId="0" fillId="0" borderId="23" xfId="0" applyNumberForma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9" fontId="26" fillId="0" borderId="0" xfId="0" applyNumberFormat="1" applyFont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10" fontId="12" fillId="2" borderId="0" xfId="0" applyNumberFormat="1" applyFont="1" applyFill="1">
      <alignment vertical="center"/>
    </xf>
    <xf numFmtId="38" fontId="19" fillId="0" borderId="0" xfId="0" applyNumberFormat="1" applyFont="1" applyAlignment="1"/>
    <xf numFmtId="0" fontId="21" fillId="5" borderId="18" xfId="0" applyFont="1" applyFill="1" applyBorder="1" applyAlignment="1">
      <alignment shrinkToFit="1"/>
    </xf>
    <xf numFmtId="38" fontId="17" fillId="5" borderId="0" xfId="0" applyNumberFormat="1" applyFont="1" applyFill="1" applyAlignment="1"/>
    <xf numFmtId="177" fontId="0" fillId="6" borderId="0" xfId="0" applyNumberFormat="1" applyFill="1">
      <alignment vertical="center"/>
    </xf>
    <xf numFmtId="38" fontId="0" fillId="6" borderId="0" xfId="0" applyNumberFormat="1" applyFill="1">
      <alignment vertical="center"/>
    </xf>
    <xf numFmtId="177" fontId="8" fillId="0" borderId="37" xfId="0" applyNumberFormat="1" applyFont="1" applyBorder="1">
      <alignment vertical="center"/>
    </xf>
    <xf numFmtId="38" fontId="8" fillId="0" borderId="37" xfId="0" applyNumberFormat="1" applyFont="1" applyBorder="1">
      <alignment vertical="center"/>
    </xf>
    <xf numFmtId="38" fontId="5" fillId="5" borderId="0" xfId="0" applyNumberFormat="1" applyFont="1" applyFill="1">
      <alignment vertical="center"/>
    </xf>
    <xf numFmtId="10" fontId="32" fillId="11" borderId="9" xfId="0" applyNumberFormat="1" applyFont="1" applyFill="1" applyBorder="1">
      <alignment vertical="center"/>
    </xf>
    <xf numFmtId="10" fontId="33" fillId="11" borderId="23" xfId="0" applyNumberFormat="1" applyFont="1" applyFill="1" applyBorder="1">
      <alignment vertical="center"/>
    </xf>
    <xf numFmtId="10" fontId="12" fillId="2" borderId="25" xfId="0" applyNumberFormat="1" applyFont="1" applyFill="1" applyBorder="1">
      <alignment vertical="center"/>
    </xf>
    <xf numFmtId="10" fontId="12" fillId="2" borderId="21" xfId="0" applyNumberFormat="1" applyFont="1" applyFill="1" applyBorder="1">
      <alignment vertical="center"/>
    </xf>
    <xf numFmtId="10" fontId="12" fillId="2" borderId="22" xfId="0" applyNumberFormat="1" applyFont="1" applyFill="1" applyBorder="1">
      <alignment vertical="center"/>
    </xf>
    <xf numFmtId="0" fontId="23" fillId="0" borderId="49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0" fontId="23" fillId="0" borderId="50" xfId="0" applyFont="1" applyBorder="1" applyAlignment="1">
      <alignment horizontal="right" vertical="center" wrapText="1"/>
    </xf>
    <xf numFmtId="0" fontId="22" fillId="8" borderId="52" xfId="0" applyFont="1" applyFill="1" applyBorder="1" applyAlignment="1">
      <alignment horizontal="left" vertical="center" wrapText="1"/>
    </xf>
    <xf numFmtId="0" fontId="22" fillId="8" borderId="53" xfId="0" applyFont="1" applyFill="1" applyBorder="1" applyAlignment="1">
      <alignment horizontal="left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 wrapText="1"/>
    </xf>
    <xf numFmtId="0" fontId="22" fillId="7" borderId="46" xfId="0" applyFont="1" applyFill="1" applyBorder="1" applyAlignment="1">
      <alignment horizontal="center" vertical="center" wrapText="1"/>
    </xf>
    <xf numFmtId="38" fontId="27" fillId="9" borderId="23" xfId="1" applyFont="1" applyFill="1" applyBorder="1" applyAlignment="1">
      <alignment horizontal="left" vertical="center" wrapText="1"/>
    </xf>
    <xf numFmtId="38" fontId="27" fillId="9" borderId="9" xfId="1" applyFont="1" applyFill="1" applyBorder="1" applyAlignment="1">
      <alignment horizontal="left" vertical="center" wrapText="1"/>
    </xf>
    <xf numFmtId="38" fontId="27" fillId="9" borderId="36" xfId="1" applyFont="1" applyFill="1" applyBorder="1" applyAlignment="1">
      <alignment horizontal="left" vertical="center" wrapText="1"/>
    </xf>
    <xf numFmtId="38" fontId="0" fillId="9" borderId="23" xfId="1" applyFont="1" applyFill="1" applyBorder="1" applyAlignment="1">
      <alignment horizontal="left" vertical="center" wrapText="1"/>
    </xf>
    <xf numFmtId="38" fontId="0" fillId="9" borderId="9" xfId="1" applyFont="1" applyFill="1" applyBorder="1" applyAlignment="1">
      <alignment horizontal="left" vertical="center" wrapText="1"/>
    </xf>
    <xf numFmtId="38" fontId="0" fillId="9" borderId="36" xfId="1" applyFont="1" applyFill="1" applyBorder="1" applyAlignment="1">
      <alignment horizontal="left" vertical="center" wrapText="1"/>
    </xf>
    <xf numFmtId="38" fontId="0" fillId="9" borderId="23" xfId="1" applyFont="1" applyFill="1" applyBorder="1" applyAlignment="1">
      <alignment horizontal="center" vertical="center" wrapText="1"/>
    </xf>
    <xf numFmtId="38" fontId="0" fillId="9" borderId="9" xfId="1" applyFont="1" applyFill="1" applyBorder="1" applyAlignment="1">
      <alignment horizontal="center" vertical="center" wrapText="1"/>
    </xf>
    <xf numFmtId="38" fontId="0" fillId="9" borderId="36" xfId="1" applyFont="1" applyFill="1" applyBorder="1" applyAlignment="1">
      <alignment horizontal="center" vertical="center" wrapText="1"/>
    </xf>
    <xf numFmtId="38" fontId="0" fillId="3" borderId="23" xfId="1" applyFont="1" applyFill="1" applyBorder="1" applyAlignment="1">
      <alignment horizontal="left" vertical="center" wrapText="1"/>
    </xf>
    <xf numFmtId="38" fontId="0" fillId="3" borderId="9" xfId="1" applyFont="1" applyFill="1" applyBorder="1" applyAlignment="1">
      <alignment horizontal="left" vertical="center" wrapText="1"/>
    </xf>
    <xf numFmtId="38" fontId="0" fillId="3" borderId="36" xfId="1" applyFont="1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38" fontId="8" fillId="3" borderId="23" xfId="1" applyFont="1" applyFill="1" applyBorder="1" applyAlignment="1">
      <alignment horizontal="left" vertical="center" wrapText="1"/>
    </xf>
    <xf numFmtId="38" fontId="8" fillId="3" borderId="9" xfId="1" applyFont="1" applyFill="1" applyBorder="1" applyAlignment="1">
      <alignment horizontal="left" vertical="center" wrapText="1"/>
    </xf>
    <xf numFmtId="38" fontId="8" fillId="3" borderId="36" xfId="1" applyFont="1" applyFill="1" applyBorder="1" applyAlignment="1">
      <alignment horizontal="left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27" fillId="5" borderId="17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7" fillId="5" borderId="0" xfId="0" applyFont="1" applyFill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A945-6F51-4D3D-98B3-C9B8905B4D2A}">
  <dimension ref="A1:CD73"/>
  <sheetViews>
    <sheetView showGridLines="0" tabSelected="1" zoomScaleNormal="100" zoomScaleSheetLayoutView="112" workbookViewId="0">
      <selection activeCell="I14" sqref="I14"/>
    </sheetView>
  </sheetViews>
  <sheetFormatPr defaultRowHeight="13.2" outlineLevelCol="1"/>
  <cols>
    <col min="1" max="1" width="10.6640625" customWidth="1"/>
    <col min="2" max="2" width="4.6640625" customWidth="1"/>
    <col min="3" max="3" width="11.44140625" customWidth="1"/>
    <col min="4" max="4" width="10.6640625" style="47" customWidth="1"/>
    <col min="5" max="5" width="15.6640625" customWidth="1"/>
    <col min="6" max="6" width="10.6640625" style="47" customWidth="1"/>
    <col min="7" max="7" width="15.6640625" customWidth="1"/>
    <col min="8" max="8" width="17" customWidth="1"/>
    <col min="9" max="9" width="15.6640625" customWidth="1"/>
    <col min="10" max="10" width="6" customWidth="1"/>
    <col min="11" max="11" width="15.6640625" customWidth="1"/>
    <col min="12" max="12" width="8.77734375" customWidth="1"/>
    <col min="13" max="13" width="11.6640625" customWidth="1"/>
    <col min="14" max="14" width="15.6640625" customWidth="1"/>
    <col min="15" max="15" width="8.44140625" customWidth="1"/>
    <col min="16" max="16" width="8.44140625" customWidth="1" outlineLevel="1"/>
    <col min="17" max="18" width="15.6640625" customWidth="1"/>
    <col min="19" max="19" width="8.44140625" customWidth="1"/>
    <col min="20" max="20" width="15.6640625" style="39" customWidth="1"/>
    <col min="21" max="21" width="10.6640625" customWidth="1"/>
    <col min="22" max="22" width="14.88671875" customWidth="1"/>
    <col min="23" max="23" width="8.44140625" customWidth="1"/>
    <col min="24" max="24" width="11.88671875" bestFit="1" customWidth="1"/>
    <col min="25" max="25" width="9.6640625" customWidth="1" outlineLevel="1"/>
    <col min="26" max="26" width="14.109375" customWidth="1" outlineLevel="1"/>
    <col min="27" max="27" width="9.6640625" customWidth="1" outlineLevel="1"/>
    <col min="28" max="28" width="12.109375" customWidth="1"/>
    <col min="29" max="29" width="19.33203125" customWidth="1"/>
    <col min="30" max="31" width="14.77734375" hidden="1" customWidth="1" outlineLevel="1"/>
    <col min="32" max="32" width="14.77734375" customWidth="1" collapsed="1"/>
    <col min="33" max="33" width="12.6640625" bestFit="1" customWidth="1"/>
    <col min="34" max="34" width="9.88671875" customWidth="1"/>
    <col min="35" max="37" width="9.6640625" style="39" bestFit="1" customWidth="1"/>
    <col min="38" max="38" width="11.44140625" style="39" customWidth="1"/>
    <col min="39" max="39" width="12.6640625" style="39" customWidth="1"/>
    <col min="40" max="44" width="11.44140625" style="39" customWidth="1"/>
    <col min="45" max="45" width="5.109375" customWidth="1"/>
    <col min="46" max="46" width="13.21875" customWidth="1"/>
    <col min="47" max="47" width="16" customWidth="1"/>
    <col min="49" max="49" width="15.21875" style="39" customWidth="1"/>
    <col min="51" max="51" width="12" style="117" customWidth="1"/>
    <col min="52" max="52" width="14.77734375" customWidth="1"/>
    <col min="53" max="53" width="21.44140625" customWidth="1"/>
    <col min="54" max="57" width="15.6640625" customWidth="1"/>
    <col min="58" max="65" width="14.44140625" customWidth="1"/>
    <col min="66" max="76" width="14.44140625" customWidth="1" outlineLevel="1"/>
    <col min="77" max="77" width="14.44140625" customWidth="1"/>
    <col min="78" max="78" width="5.77734375" customWidth="1"/>
    <col min="79" max="80" width="19.33203125" customWidth="1"/>
    <col min="81" max="82" width="14.44140625" customWidth="1"/>
  </cols>
  <sheetData>
    <row r="1" spans="1:81" ht="46.5" customHeight="1">
      <c r="A1" s="94" t="s">
        <v>122</v>
      </c>
      <c r="T1" s="96"/>
    </row>
    <row r="2" spans="1:81" ht="21" customHeight="1">
      <c r="A2" s="94"/>
      <c r="C2" s="48" t="s">
        <v>141</v>
      </c>
      <c r="D2" s="49"/>
      <c r="E2" s="221" t="s">
        <v>148</v>
      </c>
      <c r="T2" s="96"/>
    </row>
    <row r="3" spans="1:81" ht="22.5" customHeight="1">
      <c r="A3" s="340" t="s">
        <v>38</v>
      </c>
      <c r="C3" s="48" t="s">
        <v>2</v>
      </c>
      <c r="D3" s="49"/>
      <c r="E3" s="86">
        <v>10000000</v>
      </c>
      <c r="F3" s="249"/>
      <c r="I3" t="s">
        <v>32</v>
      </c>
      <c r="N3" t="s">
        <v>34</v>
      </c>
      <c r="S3" s="69"/>
      <c r="T3" s="180" t="s">
        <v>119</v>
      </c>
      <c r="U3" s="184" t="s">
        <v>121</v>
      </c>
      <c r="V3" s="180" t="s">
        <v>120</v>
      </c>
    </row>
    <row r="4" spans="1:81" ht="17.100000000000001" customHeight="1">
      <c r="A4" s="340"/>
      <c r="C4" s="48" t="s">
        <v>15</v>
      </c>
      <c r="D4" s="51">
        <v>7.0000000000000007E-2</v>
      </c>
      <c r="E4" s="50">
        <f>E3*D4</f>
        <v>700000.00000000012</v>
      </c>
      <c r="F4" s="198"/>
      <c r="I4" s="78" t="s">
        <v>33</v>
      </c>
      <c r="J4" s="182" t="str">
        <f>Q7</f>
        <v>W</v>
      </c>
      <c r="K4" s="183">
        <f>VLOOKUP(J4,S3:V7,4,FALSE)</f>
        <v>150000</v>
      </c>
      <c r="N4" s="78" t="s">
        <v>25</v>
      </c>
      <c r="O4" s="80">
        <f>J10</f>
        <v>0.47058823529411764</v>
      </c>
      <c r="P4" s="80"/>
      <c r="Q4" s="82">
        <f>+ROUND(E3*O4,-5)</f>
        <v>4700000</v>
      </c>
      <c r="S4" s="69" t="s">
        <v>115</v>
      </c>
      <c r="T4" s="179">
        <v>22</v>
      </c>
      <c r="U4" s="179">
        <v>4</v>
      </c>
      <c r="V4" s="181">
        <v>150000</v>
      </c>
    </row>
    <row r="5" spans="1:81" ht="17.100000000000001" customHeight="1">
      <c r="A5" s="340"/>
      <c r="C5" s="48" t="s">
        <v>3</v>
      </c>
      <c r="D5" s="49"/>
      <c r="E5" s="50">
        <f>SUM(E3:E4)</f>
        <v>10700000</v>
      </c>
      <c r="F5" s="198"/>
      <c r="I5" s="77" t="s">
        <v>30</v>
      </c>
      <c r="K5" s="92">
        <v>110</v>
      </c>
      <c r="N5" s="64" t="s">
        <v>18</v>
      </c>
      <c r="O5" s="81">
        <f>J7</f>
        <v>0.52941176470588236</v>
      </c>
      <c r="P5" s="81"/>
      <c r="Q5" s="83">
        <f>E3-Q4</f>
        <v>5300000</v>
      </c>
      <c r="S5" s="69" t="s">
        <v>116</v>
      </c>
      <c r="T5" s="179">
        <v>27</v>
      </c>
      <c r="U5" s="179">
        <v>5</v>
      </c>
      <c r="V5" s="181">
        <v>170000</v>
      </c>
    </row>
    <row r="6" spans="1:81" ht="17.100000000000001" customHeight="1">
      <c r="A6" s="340"/>
      <c r="C6" s="48" t="s">
        <v>153</v>
      </c>
      <c r="D6" s="90">
        <v>0.9</v>
      </c>
      <c r="E6" s="52">
        <f>E3*D6</f>
        <v>9000000</v>
      </c>
      <c r="F6" s="211"/>
      <c r="G6" s="54"/>
      <c r="I6" s="77" t="s">
        <v>18</v>
      </c>
      <c r="K6" s="63">
        <f>K4*K5</f>
        <v>16500000</v>
      </c>
      <c r="L6" s="79"/>
      <c r="M6" s="79"/>
      <c r="N6" s="250" t="s">
        <v>31</v>
      </c>
      <c r="O6" s="65"/>
      <c r="P6" s="65"/>
      <c r="Q6" s="83">
        <f>SUM(Q4:Q5)</f>
        <v>10000000</v>
      </c>
      <c r="R6" s="193"/>
      <c r="S6" s="69" t="s">
        <v>117</v>
      </c>
      <c r="T6" s="179">
        <v>34</v>
      </c>
      <c r="U6" s="179">
        <v>6</v>
      </c>
      <c r="V6" s="181">
        <v>180000</v>
      </c>
    </row>
    <row r="7" spans="1:81" ht="17.100000000000001" customHeight="1">
      <c r="A7" s="340"/>
      <c r="C7" s="48" t="s">
        <v>151</v>
      </c>
      <c r="D7" s="49"/>
      <c r="E7" s="111">
        <v>0.02</v>
      </c>
      <c r="F7" s="251"/>
      <c r="I7" s="64" t="s">
        <v>36</v>
      </c>
      <c r="J7" s="222">
        <f>IF(R7="区分マンション",50%,K7/K11)</f>
        <v>0.52941176470588236</v>
      </c>
      <c r="K7" s="223">
        <f>IF(R7="区分マンション","-",K6-(K6*((1-M7)*Q9/(Q9+Q10))))</f>
        <v>10125000</v>
      </c>
      <c r="L7" s="209" t="s">
        <v>139</v>
      </c>
      <c r="M7" s="210">
        <v>0.15</v>
      </c>
      <c r="N7" s="226" t="s">
        <v>114</v>
      </c>
      <c r="Q7" s="185" t="s">
        <v>143</v>
      </c>
      <c r="R7" s="192" t="s">
        <v>129</v>
      </c>
      <c r="S7" s="69" t="s">
        <v>118</v>
      </c>
      <c r="T7" s="179">
        <v>47</v>
      </c>
      <c r="U7" s="179">
        <v>9</v>
      </c>
      <c r="V7" s="181">
        <v>190000</v>
      </c>
    </row>
    <row r="8" spans="1:81" ht="17.100000000000001" customHeight="1">
      <c r="A8" s="340"/>
      <c r="C8" s="48" t="s">
        <v>152</v>
      </c>
      <c r="D8" s="49"/>
      <c r="E8" s="87">
        <v>25</v>
      </c>
      <c r="F8" s="252"/>
      <c r="I8" s="66" t="s">
        <v>26</v>
      </c>
      <c r="K8" s="118">
        <v>60000</v>
      </c>
      <c r="L8" s="79"/>
      <c r="M8" s="208"/>
      <c r="N8" t="s">
        <v>39</v>
      </c>
      <c r="Q8" s="110">
        <f>VLOOKUP(Q7,S4:U7,2,FALSE)</f>
        <v>22</v>
      </c>
    </row>
    <row r="9" spans="1:81" ht="17.100000000000001" customHeight="1">
      <c r="A9" s="340"/>
      <c r="C9" s="48" t="s">
        <v>8</v>
      </c>
      <c r="D9" s="49" t="s">
        <v>149</v>
      </c>
      <c r="E9" s="89">
        <v>1000000</v>
      </c>
      <c r="F9" s="212"/>
      <c r="G9" s="40"/>
      <c r="I9" s="66" t="s">
        <v>27</v>
      </c>
      <c r="K9" s="92">
        <v>150</v>
      </c>
      <c r="N9" t="s">
        <v>156</v>
      </c>
      <c r="Q9" s="84">
        <v>10</v>
      </c>
    </row>
    <row r="10" spans="1:81" ht="17.100000000000001" customHeight="1">
      <c r="A10" s="340"/>
      <c r="C10" s="253" t="s">
        <v>35</v>
      </c>
      <c r="D10" s="49"/>
      <c r="E10" s="199">
        <f>E3*(100%-D6)+E4</f>
        <v>1700000</v>
      </c>
      <c r="F10" s="213"/>
      <c r="G10" s="53"/>
      <c r="I10" s="64" t="s">
        <v>25</v>
      </c>
      <c r="J10" s="91">
        <f>1-J7</f>
        <v>0.47058823529411764</v>
      </c>
      <c r="K10" s="223">
        <f>IF(K7="-","-",K8*K9)</f>
        <v>9000000</v>
      </c>
      <c r="N10" t="s">
        <v>40</v>
      </c>
      <c r="Q10" s="110">
        <f>IF(Q8-Q9&gt;0,Q8-Q9,0)</f>
        <v>12</v>
      </c>
      <c r="R10" t="s">
        <v>43</v>
      </c>
      <c r="T10" s="96"/>
    </row>
    <row r="11" spans="1:81" ht="26.4" customHeight="1">
      <c r="A11" s="340"/>
      <c r="C11" s="253" t="s">
        <v>130</v>
      </c>
      <c r="D11" s="254"/>
      <c r="E11" s="255">
        <f>INDEX(D59:AK59,MATCH(0,D61:AK61,0))</f>
        <v>45992</v>
      </c>
      <c r="F11" s="256"/>
      <c r="H11" s="40"/>
      <c r="I11" s="64" t="s">
        <v>31</v>
      </c>
      <c r="J11" s="65"/>
      <c r="K11" s="205">
        <f>IF(K7="-","-",K7+K10)</f>
        <v>19125000</v>
      </c>
      <c r="L11" s="341" t="s">
        <v>145</v>
      </c>
      <c r="M11" s="342"/>
      <c r="N11" t="s">
        <v>37</v>
      </c>
      <c r="Q11" s="112">
        <f>+IF(OR((Q8-Q9)&gt;VLOOKUP(Q7,$S$4:$U$7,3,FALSE),(Q8-Q9)+(Q9*20%)&gt;VLOOKUP(Q7,$S$4:$U$7,3,FALSE)),ROUNDDOWN((Q8-Q9)+(Q9*20%),0),VLOOKUP(Q7,$S$4:$U$7,3,FALSE))</f>
        <v>14</v>
      </c>
      <c r="R11" t="s">
        <v>42</v>
      </c>
      <c r="T11" s="96"/>
    </row>
    <row r="12" spans="1:81" ht="17.100000000000001" customHeight="1">
      <c r="A12" s="340"/>
      <c r="C12" s="48" t="s">
        <v>136</v>
      </c>
      <c r="D12" s="254"/>
      <c r="E12" s="257">
        <f>INDEX(D59:AK59,MATCH(0,D65:AK65,0))</f>
        <v>44896</v>
      </c>
      <c r="F12" s="256"/>
      <c r="G12" s="53"/>
      <c r="H12" s="240" t="s">
        <v>144</v>
      </c>
      <c r="I12" s="244" t="s">
        <v>146</v>
      </c>
      <c r="J12" s="241"/>
      <c r="K12" s="242">
        <f>ROUND(K6*(Q10/Q8),-3)</f>
        <v>9000000</v>
      </c>
      <c r="L12" s="343" t="s">
        <v>150</v>
      </c>
      <c r="M12" s="343"/>
      <c r="N12" t="s">
        <v>154</v>
      </c>
      <c r="Q12" s="155">
        <f>E9/E3</f>
        <v>0.1</v>
      </c>
    </row>
    <row r="13" spans="1:81" ht="17.100000000000001" customHeight="1">
      <c r="A13" s="340"/>
      <c r="H13" s="241"/>
      <c r="I13" s="241" t="s">
        <v>157</v>
      </c>
      <c r="J13" s="241"/>
      <c r="K13" s="243">
        <f>K10+K12</f>
        <v>18000000</v>
      </c>
      <c r="L13" s="344"/>
      <c r="M13" s="344"/>
      <c r="N13" t="s">
        <v>155</v>
      </c>
      <c r="Q13" s="85">
        <v>0.11</v>
      </c>
      <c r="AT13" t="s">
        <v>52</v>
      </c>
    </row>
    <row r="14" spans="1:81" ht="17.100000000000001" customHeight="1" thickBot="1">
      <c r="A14" s="340"/>
      <c r="C14" s="325" t="s">
        <v>6</v>
      </c>
      <c r="D14" s="331" t="s">
        <v>4</v>
      </c>
      <c r="E14" s="345" t="s">
        <v>12</v>
      </c>
      <c r="F14" s="35"/>
      <c r="G14" s="258"/>
      <c r="H14" s="258" t="s">
        <v>16</v>
      </c>
      <c r="I14" s="259"/>
      <c r="K14" s="331" t="s">
        <v>8</v>
      </c>
      <c r="L14" s="331" t="s">
        <v>10</v>
      </c>
      <c r="M14" s="331" t="s">
        <v>108</v>
      </c>
      <c r="N14" s="325" t="s">
        <v>9</v>
      </c>
      <c r="O14" s="328" t="s">
        <v>7</v>
      </c>
      <c r="P14" s="236"/>
      <c r="Q14" s="331" t="s">
        <v>23</v>
      </c>
      <c r="R14" s="325" t="s">
        <v>1</v>
      </c>
      <c r="S14" s="97"/>
      <c r="T14" s="334" t="s">
        <v>22</v>
      </c>
      <c r="U14" s="331" t="s">
        <v>11</v>
      </c>
      <c r="V14" s="337" t="s">
        <v>45</v>
      </c>
      <c r="W14" s="331" t="s">
        <v>6</v>
      </c>
      <c r="X14" s="322" t="s">
        <v>24</v>
      </c>
      <c r="Y14" s="322"/>
      <c r="Z14" s="322"/>
      <c r="AA14" s="322"/>
      <c r="AB14" s="322"/>
      <c r="AC14" s="322"/>
      <c r="AD14" s="322" t="s">
        <v>20</v>
      </c>
      <c r="AE14" s="322" t="s">
        <v>21</v>
      </c>
      <c r="AF14" s="322" t="s">
        <v>41</v>
      </c>
      <c r="AG14" s="316" t="s">
        <v>46</v>
      </c>
      <c r="AH14" s="316" t="s">
        <v>50</v>
      </c>
      <c r="AI14" s="319" t="s">
        <v>125</v>
      </c>
      <c r="AJ14" s="313" t="s">
        <v>49</v>
      </c>
      <c r="AK14" s="313" t="s">
        <v>47</v>
      </c>
      <c r="AL14" s="313" t="s">
        <v>48</v>
      </c>
      <c r="AM14" s="304" t="s">
        <v>112</v>
      </c>
      <c r="AN14" s="307" t="s">
        <v>113</v>
      </c>
      <c r="AO14" s="307" t="s">
        <v>109</v>
      </c>
      <c r="AP14" s="310" t="s">
        <v>110</v>
      </c>
      <c r="AQ14" s="307" t="s">
        <v>53</v>
      </c>
      <c r="AR14" s="313" t="s">
        <v>54</v>
      </c>
      <c r="AT14" s="294" t="s">
        <v>51</v>
      </c>
      <c r="AU14" s="295"/>
      <c r="AV14" s="69" t="s">
        <v>28</v>
      </c>
      <c r="AW14" s="70" t="s">
        <v>29</v>
      </c>
      <c r="AY14" s="117" t="s">
        <v>55</v>
      </c>
      <c r="BB14" s="47">
        <v>1</v>
      </c>
      <c r="BC14" s="47">
        <v>2</v>
      </c>
      <c r="BD14" s="47">
        <v>3</v>
      </c>
      <c r="BE14" s="47">
        <v>4</v>
      </c>
      <c r="BF14" s="47">
        <v>5</v>
      </c>
      <c r="BG14" s="47">
        <v>6</v>
      </c>
      <c r="BH14" s="47">
        <v>7</v>
      </c>
      <c r="BI14" s="47">
        <v>8</v>
      </c>
      <c r="BJ14" s="47">
        <v>9</v>
      </c>
      <c r="BK14" s="47">
        <v>10</v>
      </c>
      <c r="BL14" s="47">
        <v>11</v>
      </c>
      <c r="BM14" s="47">
        <v>12</v>
      </c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CA14" t="s">
        <v>106</v>
      </c>
    </row>
    <row r="15" spans="1:81" ht="17.100000000000001" customHeight="1" thickTop="1">
      <c r="A15" s="340"/>
      <c r="C15" s="326"/>
      <c r="D15" s="332"/>
      <c r="E15" s="332"/>
      <c r="F15" s="296" t="s">
        <v>142</v>
      </c>
      <c r="G15" s="298" t="s">
        <v>1</v>
      </c>
      <c r="H15" s="246"/>
      <c r="I15" s="2"/>
      <c r="K15" s="332"/>
      <c r="L15" s="332"/>
      <c r="M15" s="332"/>
      <c r="N15" s="326"/>
      <c r="O15" s="329"/>
      <c r="P15" s="237"/>
      <c r="Q15" s="332"/>
      <c r="R15" s="326"/>
      <c r="S15" s="300" t="s">
        <v>44</v>
      </c>
      <c r="T15" s="335"/>
      <c r="U15" s="332"/>
      <c r="V15" s="338"/>
      <c r="W15" s="332"/>
      <c r="X15" s="323"/>
      <c r="Y15" s="323"/>
      <c r="Z15" s="323"/>
      <c r="AA15" s="323"/>
      <c r="AB15" s="323"/>
      <c r="AC15" s="323"/>
      <c r="AD15" s="323"/>
      <c r="AE15" s="323"/>
      <c r="AF15" s="323"/>
      <c r="AG15" s="317"/>
      <c r="AH15" s="317"/>
      <c r="AI15" s="320"/>
      <c r="AJ15" s="314"/>
      <c r="AK15" s="314"/>
      <c r="AL15" s="314"/>
      <c r="AM15" s="305"/>
      <c r="AN15" s="308"/>
      <c r="AO15" s="308"/>
      <c r="AP15" s="311"/>
      <c r="AQ15" s="308"/>
      <c r="AR15" s="314"/>
      <c r="AT15" s="156">
        <v>195</v>
      </c>
      <c r="AU15" s="157"/>
      <c r="AV15" s="71">
        <v>0.15</v>
      </c>
      <c r="AW15" s="72">
        <v>0</v>
      </c>
      <c r="AY15" s="119"/>
      <c r="AZ15" s="119"/>
      <c r="BA15" s="120"/>
      <c r="BB15" s="224">
        <f>EDATE(E2,12)</f>
        <v>44896</v>
      </c>
      <c r="BC15" s="121">
        <f>EDATE(BB15,12)</f>
        <v>45261</v>
      </c>
      <c r="BD15" s="121">
        <f t="shared" ref="BD15:BM15" si="0">EDATE(BC15,12)</f>
        <v>45627</v>
      </c>
      <c r="BE15" s="121">
        <f t="shared" si="0"/>
        <v>45992</v>
      </c>
      <c r="BF15" s="121">
        <f t="shared" si="0"/>
        <v>46357</v>
      </c>
      <c r="BG15" s="121">
        <f t="shared" si="0"/>
        <v>46722</v>
      </c>
      <c r="BH15" s="121">
        <f t="shared" si="0"/>
        <v>47088</v>
      </c>
      <c r="BI15" s="121">
        <f t="shared" si="0"/>
        <v>47453</v>
      </c>
      <c r="BJ15" s="121">
        <f t="shared" si="0"/>
        <v>47818</v>
      </c>
      <c r="BK15" s="121">
        <f t="shared" si="0"/>
        <v>48183</v>
      </c>
      <c r="BL15" s="121">
        <f t="shared" si="0"/>
        <v>48549</v>
      </c>
      <c r="BM15" s="121">
        <f t="shared" si="0"/>
        <v>48914</v>
      </c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CA15" s="302" t="s">
        <v>77</v>
      </c>
      <c r="CB15" s="149" t="s">
        <v>78</v>
      </c>
      <c r="CC15" t="s">
        <v>107</v>
      </c>
    </row>
    <row r="16" spans="1:81" ht="17.100000000000001" customHeight="1" thickBot="1">
      <c r="A16" s="340"/>
      <c r="C16" s="327"/>
      <c r="D16" s="333"/>
      <c r="E16" s="333"/>
      <c r="F16" s="297"/>
      <c r="G16" s="299"/>
      <c r="H16" s="34" t="s">
        <v>13</v>
      </c>
      <c r="I16" s="35" t="s">
        <v>14</v>
      </c>
      <c r="K16" s="333"/>
      <c r="L16" s="333"/>
      <c r="M16" s="333"/>
      <c r="N16" s="327"/>
      <c r="O16" s="330"/>
      <c r="P16" s="238"/>
      <c r="Q16" s="333"/>
      <c r="R16" s="327"/>
      <c r="S16" s="301"/>
      <c r="T16" s="336"/>
      <c r="U16" s="333"/>
      <c r="V16" s="338"/>
      <c r="W16" s="333"/>
      <c r="X16" s="323"/>
      <c r="Y16" s="323"/>
      <c r="Z16" s="323"/>
      <c r="AA16" s="323"/>
      <c r="AB16" s="323"/>
      <c r="AC16" s="323"/>
      <c r="AD16" s="323"/>
      <c r="AE16" s="323"/>
      <c r="AF16" s="323"/>
      <c r="AG16" s="317"/>
      <c r="AH16" s="317"/>
      <c r="AI16" s="320"/>
      <c r="AJ16" s="314"/>
      <c r="AK16" s="314"/>
      <c r="AL16" s="314"/>
      <c r="AM16" s="305"/>
      <c r="AN16" s="308"/>
      <c r="AO16" s="308"/>
      <c r="AP16" s="311"/>
      <c r="AQ16" s="308"/>
      <c r="AR16" s="314"/>
      <c r="AT16" s="158">
        <f>+AT15</f>
        <v>195</v>
      </c>
      <c r="AU16" s="159">
        <v>330</v>
      </c>
      <c r="AV16" s="73">
        <v>0.2</v>
      </c>
      <c r="AW16" s="74">
        <v>97500</v>
      </c>
      <c r="AY16" s="122" t="s">
        <v>56</v>
      </c>
      <c r="AZ16" s="122" t="s">
        <v>57</v>
      </c>
      <c r="BA16" s="123"/>
      <c r="BB16" s="56">
        <f>+ROUND(K18/$Q$13,-5)</f>
        <v>9100000</v>
      </c>
      <c r="BC16" s="56">
        <f>+ROUND(K19/$Q$13,-5)</f>
        <v>9100000</v>
      </c>
      <c r="BD16" s="56">
        <f>+ROUND(K20/$Q$13,-5)</f>
        <v>9100000</v>
      </c>
      <c r="BE16" s="56">
        <f>+ROUND(K21/$Q$13,-5)</f>
        <v>9100000</v>
      </c>
      <c r="BF16" s="56">
        <f>+ROUND(K22/$Q$13,-5)</f>
        <v>9100000</v>
      </c>
      <c r="BG16" s="59">
        <f>+ROUND(K23/$Q$13,-5)</f>
        <v>9100000</v>
      </c>
      <c r="BH16" s="56">
        <f>+ROUND(K24/$Q$13,-5)</f>
        <v>9100000</v>
      </c>
      <c r="BI16" s="56">
        <f>+ROUND(K25/$Q$13,-5)</f>
        <v>9100000</v>
      </c>
      <c r="BJ16" s="56">
        <f>+ROUND(K26/$Q$13,-5)</f>
        <v>9100000</v>
      </c>
      <c r="BK16" s="56">
        <f>+ROUND(K27/$Q$13,-5)</f>
        <v>9100000</v>
      </c>
      <c r="BL16" s="56">
        <f>+ROUND(K28/$Q$13,-5)</f>
        <v>8800000</v>
      </c>
      <c r="BM16" s="56">
        <f>+ROUND(K29/$Q$13,-5)</f>
        <v>8800000</v>
      </c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CA16" s="303"/>
      <c r="CB16" s="150" t="s">
        <v>79</v>
      </c>
    </row>
    <row r="17" spans="1:82" ht="32.25" customHeight="1" thickTop="1" thickBot="1">
      <c r="A17" s="340"/>
      <c r="C17" s="88" t="s">
        <v>17</v>
      </c>
      <c r="D17" s="262">
        <f>E7</f>
        <v>0.02</v>
      </c>
      <c r="E17" s="10">
        <f>E6</f>
        <v>9000000</v>
      </c>
      <c r="F17" s="214">
        <f>+E17/$E$3</f>
        <v>0.9</v>
      </c>
      <c r="G17" s="11" t="s">
        <v>5</v>
      </c>
      <c r="H17" s="12" t="s">
        <v>5</v>
      </c>
      <c r="I17" s="13" t="s">
        <v>5</v>
      </c>
      <c r="K17" s="18">
        <f>E9</f>
        <v>1000000</v>
      </c>
      <c r="L17" s="20" t="s">
        <v>5</v>
      </c>
      <c r="M17" s="20" t="s">
        <v>5</v>
      </c>
      <c r="N17" s="30">
        <f t="shared" ref="N17:N52" si="1">K17*O17</f>
        <v>150000</v>
      </c>
      <c r="O17" s="206">
        <f>VLOOKUP(Q7,C68:D71,2,0)</f>
        <v>0.15</v>
      </c>
      <c r="P17" s="239"/>
      <c r="Q17" s="202">
        <f>K17-N17</f>
        <v>850000</v>
      </c>
      <c r="R17" s="19" t="s">
        <v>5</v>
      </c>
      <c r="S17" s="106" t="s">
        <v>5</v>
      </c>
      <c r="T17" s="98" t="s">
        <v>5</v>
      </c>
      <c r="U17" s="13" t="s">
        <v>5</v>
      </c>
      <c r="V17" s="339"/>
      <c r="W17" s="11" t="s">
        <v>0</v>
      </c>
      <c r="X17" s="55" t="s">
        <v>19</v>
      </c>
      <c r="Y17" s="186" t="s">
        <v>123</v>
      </c>
      <c r="Z17" s="187" t="s">
        <v>126</v>
      </c>
      <c r="AA17" s="188" t="s">
        <v>124</v>
      </c>
      <c r="AB17" s="55" t="s">
        <v>127</v>
      </c>
      <c r="AC17" s="263" t="s">
        <v>128</v>
      </c>
      <c r="AD17" s="324"/>
      <c r="AE17" s="324"/>
      <c r="AF17" s="324"/>
      <c r="AG17" s="318"/>
      <c r="AH17" s="318"/>
      <c r="AI17" s="321"/>
      <c r="AJ17" s="315"/>
      <c r="AK17" s="315"/>
      <c r="AL17" s="315"/>
      <c r="AM17" s="306"/>
      <c r="AN17" s="309"/>
      <c r="AO17" s="309"/>
      <c r="AP17" s="312"/>
      <c r="AQ17" s="309"/>
      <c r="AR17" s="315"/>
      <c r="AT17" s="158">
        <f>+AU16</f>
        <v>330</v>
      </c>
      <c r="AU17" s="159">
        <v>695</v>
      </c>
      <c r="AV17" s="73">
        <v>0.3</v>
      </c>
      <c r="AW17" s="74">
        <v>427500</v>
      </c>
      <c r="AY17" s="124" t="s">
        <v>58</v>
      </c>
      <c r="AZ17" s="124" t="s">
        <v>59</v>
      </c>
      <c r="BA17" s="125"/>
      <c r="BB17" s="126">
        <f>E18</f>
        <v>8719016.0542434473</v>
      </c>
      <c r="BC17" s="126">
        <f>E19</f>
        <v>8432412.4295717645</v>
      </c>
      <c r="BD17" s="126">
        <f>E20</f>
        <v>8140076.7324066469</v>
      </c>
      <c r="BE17" s="126">
        <f>E21</f>
        <v>7841894.3212982276</v>
      </c>
      <c r="BF17" s="126">
        <f>E22</f>
        <v>7537748.2619676394</v>
      </c>
      <c r="BG17" s="126">
        <f>E23</f>
        <v>7227519.2814504392</v>
      </c>
      <c r="BH17" s="126">
        <f>E24</f>
        <v>6911085.721322896</v>
      </c>
      <c r="BI17" s="126">
        <f>E25</f>
        <v>6588323.4899928011</v>
      </c>
      <c r="BJ17" s="126">
        <f>E26</f>
        <v>6259106.014036105</v>
      </c>
      <c r="BK17" s="126">
        <f>E27</f>
        <v>5923304.1885602744</v>
      </c>
      <c r="BL17" s="126">
        <f>E28</f>
        <v>5580786.3265749272</v>
      </c>
      <c r="BM17" s="126">
        <f>E29</f>
        <v>5231418.1073498735</v>
      </c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CA17" s="151" t="s">
        <v>80</v>
      </c>
      <c r="CB17" s="152" t="s">
        <v>81</v>
      </c>
      <c r="CC17" s="1">
        <v>0</v>
      </c>
      <c r="CD17" s="1">
        <v>0</v>
      </c>
    </row>
    <row r="18" spans="1:82" ht="17.100000000000001" customHeight="1" thickTop="1" thickBot="1">
      <c r="A18" s="340"/>
      <c r="C18" s="21">
        <v>1</v>
      </c>
      <c r="D18" s="264">
        <f>D17</f>
        <v>0.02</v>
      </c>
      <c r="E18" s="1">
        <f t="shared" ref="E18:E52" si="2">IF(C18&gt;$E$8,0,E17-H18)</f>
        <v>8719016.0542434473</v>
      </c>
      <c r="F18" s="215">
        <f>+E18/$E$3</f>
        <v>0.87190160542434469</v>
      </c>
      <c r="G18" s="6">
        <f>IF(C18&gt;$E$8,0,-PMT(D18,($E$8-C18+1),E17))</f>
        <v>460983.94575655245</v>
      </c>
      <c r="H18" s="8">
        <f>IF(C18&gt;$E$8,0,-PPMT(D18,1,($E$8-C18+1),E17))</f>
        <v>280983.94575655239</v>
      </c>
      <c r="I18" s="3">
        <f t="shared" ref="I18:I52" si="3">IF(C18&gt;$E$8,0,-IPMT(D18,C18,$E$8,$E$6))</f>
        <v>180000</v>
      </c>
      <c r="K18" s="16">
        <f t="shared" ref="K18:K52" si="4">K17*(1+L18)</f>
        <v>1000000</v>
      </c>
      <c r="L18" s="36">
        <v>0</v>
      </c>
      <c r="M18" s="285">
        <v>0.05</v>
      </c>
      <c r="N18" s="31">
        <f t="shared" si="1"/>
        <v>150000</v>
      </c>
      <c r="O18" s="265">
        <f>$O$17</f>
        <v>0.15</v>
      </c>
      <c r="P18" s="235"/>
      <c r="Q18" s="203">
        <f>ROUND(K18*(1-M18)-N18,)</f>
        <v>800000</v>
      </c>
      <c r="R18" s="1">
        <f t="shared" ref="R18:R52" si="5">G18</f>
        <v>460983.94575655245</v>
      </c>
      <c r="S18" s="107">
        <f t="shared" ref="S18:S52" si="6">R18/K18</f>
        <v>0.46098394575655244</v>
      </c>
      <c r="T18" s="99">
        <f>Q18-R18</f>
        <v>339016.05424344755</v>
      </c>
      <c r="U18" s="41">
        <f t="shared" ref="U18:U52" si="7">T18/12</f>
        <v>28251.337853620629</v>
      </c>
      <c r="V18" s="102">
        <f>T18/($E$3/100000000)</f>
        <v>3390160.5424344754</v>
      </c>
      <c r="W18" s="23">
        <v>1</v>
      </c>
      <c r="X18" s="56">
        <f t="shared" ref="X18:X52" si="8">I18</f>
        <v>180000</v>
      </c>
      <c r="Y18" s="189">
        <f>+ROUND(X18*$O$4,)</f>
        <v>84706</v>
      </c>
      <c r="Z18" s="189">
        <f>IF(AA18&lt;0,IF(Y18&lt;ABS(AA18),Y18,ABS(AA18)),0)</f>
        <v>0</v>
      </c>
      <c r="AA18" s="189">
        <f>+Q18-X18-AB18</f>
        <v>241429</v>
      </c>
      <c r="AB18" s="57">
        <f>ROUND(IF(W18&lt;=$Q$11,$Q$5/$Q$11,0),)</f>
        <v>378571</v>
      </c>
      <c r="AC18" s="56">
        <f>Q18-X18-AB18+Z18</f>
        <v>241429</v>
      </c>
      <c r="AD18" s="56"/>
      <c r="AE18" s="56"/>
      <c r="AF18" s="93">
        <v>5000000</v>
      </c>
      <c r="AG18" s="56">
        <f>AC18+AF18</f>
        <v>5241429</v>
      </c>
      <c r="AH18" s="163">
        <f>IF(AG18/10000&lt;=$AT$15,$AV$15,IF(AG18/10000&lt;=$AU$16,$AV$16,IF(AG18/10000&lt;=$AU$17,$AV$17,IF(AG18/10000&lt;=$AU$18,$AV$18,IF(AG18/10000&lt;=$AU$19,$AV$19,IF(AG18/10000&lt;=$AU$20,$AV$20,$AV$21))))))</f>
        <v>0.3</v>
      </c>
      <c r="AI18" s="57">
        <f>AG18*AH18</f>
        <v>1572428.7</v>
      </c>
      <c r="AJ18" s="167">
        <f>VLOOKUP(AH18,$AV$15:$AW$21,2,1)</f>
        <v>427500</v>
      </c>
      <c r="AK18" s="57">
        <f>AI18-AJ18</f>
        <v>1144928.7</v>
      </c>
      <c r="AL18" s="95">
        <f>T18+AF18-AK18</f>
        <v>4194087.3542434471</v>
      </c>
      <c r="AM18" s="170">
        <f>IF(AF18/10000&lt;=$AT$15,$AV$15,IF(AF18/10000&lt;=$AU$16,$AV$16,IF(AF18/10000&lt;=$AU$17,$AV$17,IF(AF18/10000&lt;=$AU$18,$AV$18,IF(AF18/10000&lt;=$AU$19,$AV$19,IF(AF18/10000&lt;=$AU$20,$AV$20,$AV$21))))))</f>
        <v>0.3</v>
      </c>
      <c r="AN18" s="171">
        <f>AM18*AF18</f>
        <v>1500000</v>
      </c>
      <c r="AO18" s="171">
        <f>VLOOKUP(AM18,$AV$15:$AW$21,2,1)</f>
        <v>427500</v>
      </c>
      <c r="AP18" s="171">
        <f>AN18-AO18</f>
        <v>1072500</v>
      </c>
      <c r="AQ18" s="172">
        <f>AF18-AP18</f>
        <v>3927500</v>
      </c>
      <c r="AR18" s="115">
        <f>AL18-AQ18</f>
        <v>266587.35424344707</v>
      </c>
      <c r="AT18" s="158">
        <f>+AU17</f>
        <v>695</v>
      </c>
      <c r="AU18" s="159">
        <v>900</v>
      </c>
      <c r="AV18" s="73">
        <v>0.33</v>
      </c>
      <c r="AW18" s="74">
        <v>636000</v>
      </c>
      <c r="AY18" s="124" t="s">
        <v>60</v>
      </c>
      <c r="AZ18" s="124" t="s">
        <v>61</v>
      </c>
      <c r="BA18" s="125"/>
      <c r="BB18" s="127">
        <f>E3-AB18</f>
        <v>9621429</v>
      </c>
      <c r="BC18" s="127">
        <f>BB18-AB19</f>
        <v>9242858</v>
      </c>
      <c r="BD18" s="127">
        <f>BC18-AB20</f>
        <v>8864287</v>
      </c>
      <c r="BE18" s="127">
        <f>BD18-AB21</f>
        <v>8485716</v>
      </c>
      <c r="BF18" s="127">
        <f>BE18-AB22</f>
        <v>8107145</v>
      </c>
      <c r="BG18" s="127">
        <f>BF18-AB23</f>
        <v>7728574</v>
      </c>
      <c r="BH18" s="127">
        <f>BG18-AB24</f>
        <v>7350003</v>
      </c>
      <c r="BI18" s="127">
        <f>BH18-AB25</f>
        <v>6971432</v>
      </c>
      <c r="BJ18" s="127">
        <f>BI18-AB26</f>
        <v>6592861</v>
      </c>
      <c r="BK18" s="127">
        <f>BJ18-AB27</f>
        <v>6214290</v>
      </c>
      <c r="BL18" s="127">
        <f>BK18-AB28</f>
        <v>5835719</v>
      </c>
      <c r="BM18" s="127">
        <f>BL18-AB29</f>
        <v>5457148</v>
      </c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CA18" s="153" t="s">
        <v>82</v>
      </c>
      <c r="CB18" s="287" t="s">
        <v>83</v>
      </c>
      <c r="CC18" s="1">
        <v>10001</v>
      </c>
      <c r="CD18" s="1">
        <v>200</v>
      </c>
    </row>
    <row r="19" spans="1:82" ht="17.100000000000001" customHeight="1" thickBot="1">
      <c r="A19" s="340"/>
      <c r="C19" s="21">
        <v>2</v>
      </c>
      <c r="D19" s="264">
        <f t="shared" ref="D19:D52" si="9">D18</f>
        <v>0.02</v>
      </c>
      <c r="E19" s="1">
        <f t="shared" si="2"/>
        <v>8432412.4295717645</v>
      </c>
      <c r="F19" s="215">
        <f t="shared" ref="F19:F52" si="10">+E19/$E$3</f>
        <v>0.84324124295717651</v>
      </c>
      <c r="G19" s="6">
        <f>IF(C19&gt;$E$8,0,-PMT(D19,($E$8-C19+1),E18))</f>
        <v>460983.94575655239</v>
      </c>
      <c r="H19" s="8">
        <f t="shared" ref="H19:H52" si="11">IF(C19&gt;$E$8,0,-PPMT(D19,1,($E$8-C19+1),E18))</f>
        <v>286603.62467168341</v>
      </c>
      <c r="I19" s="3">
        <f t="shared" si="3"/>
        <v>174380.32108486898</v>
      </c>
      <c r="K19" s="16">
        <f t="shared" si="4"/>
        <v>1000000</v>
      </c>
      <c r="L19" s="36">
        <v>0</v>
      </c>
      <c r="M19" s="285">
        <v>0.05</v>
      </c>
      <c r="N19" s="31">
        <f t="shared" si="1"/>
        <v>150000</v>
      </c>
      <c r="O19" s="265">
        <f t="shared" ref="O19:O27" si="12">$O$17</f>
        <v>0.15</v>
      </c>
      <c r="P19" s="235"/>
      <c r="Q19" s="203">
        <f t="shared" ref="Q19:Q52" si="13">ROUND(K19*(1-M19)-N19,)</f>
        <v>800000</v>
      </c>
      <c r="R19" s="1">
        <f t="shared" si="5"/>
        <v>460983.94575655239</v>
      </c>
      <c r="S19" s="107">
        <f t="shared" si="6"/>
        <v>0.46098394575655238</v>
      </c>
      <c r="T19" s="99">
        <f t="shared" ref="T19:T52" si="14">Q19-R19</f>
        <v>339016.05424344761</v>
      </c>
      <c r="U19" s="41">
        <f t="shared" si="7"/>
        <v>28251.337853620633</v>
      </c>
      <c r="V19" s="102">
        <f t="shared" ref="V19:V52" si="15">T19/($E$3/100000000)</f>
        <v>3390160.5424344759</v>
      </c>
      <c r="W19" s="23">
        <v>2</v>
      </c>
      <c r="X19" s="56">
        <f t="shared" si="8"/>
        <v>174380.32108486898</v>
      </c>
      <c r="Y19" s="189">
        <f>+ROUND(X19*$O$4,)</f>
        <v>82061</v>
      </c>
      <c r="Z19" s="189">
        <f t="shared" ref="Z19:Z52" si="16">IF(AA19&lt;0,IF(Y19&lt;ABS(AA19),Y19,ABS(AA19)),0)</f>
        <v>0</v>
      </c>
      <c r="AA19" s="189">
        <f t="shared" ref="AA19:AA52" si="17">+Q19-X19-AB19</f>
        <v>247048.67891513102</v>
      </c>
      <c r="AB19" s="57">
        <f t="shared" ref="AB19:AB52" si="18">ROUND(IF(W19&lt;=$Q$11,$Q$5/$Q$11,0),)</f>
        <v>378571</v>
      </c>
      <c r="AC19" s="56">
        <f>Q19-X19-AB19+Z19</f>
        <v>247048.67891513102</v>
      </c>
      <c r="AD19" s="56"/>
      <c r="AE19" s="56"/>
      <c r="AF19" s="93">
        <f>$AF$18</f>
        <v>5000000</v>
      </c>
      <c r="AG19" s="56">
        <f t="shared" ref="AG19:AG52" si="19">AC19+AF19</f>
        <v>5247048.6789151309</v>
      </c>
      <c r="AH19" s="164">
        <f t="shared" ref="AH19:AH52" si="20">IF(AG19/10000&lt;=$AT$15,$AV$15,IF(AG19/10000&lt;=$AU$16,$AV$16,IF(AG19/10000&lt;=$AU$17,$AV$17,IF(AG19/10000&lt;=$AU$18,$AV$18,IF(AG19/10000&lt;=$AU$19,$AV$19,IF(AG19/10000&lt;=$AU$20,$AV$20,$AV$21))))))</f>
        <v>0.3</v>
      </c>
      <c r="AI19" s="57">
        <f>AG19*AH19</f>
        <v>1574114.6036745391</v>
      </c>
      <c r="AJ19" s="167">
        <f t="shared" ref="AJ19:AJ52" si="21">VLOOKUP(AH19,$AV$15:$AW$21,2,1)</f>
        <v>427500</v>
      </c>
      <c r="AK19" s="57">
        <f t="shared" ref="AK19:AK52" si="22">AI19-AJ19</f>
        <v>1146614.6036745391</v>
      </c>
      <c r="AL19" s="57">
        <f t="shared" ref="AL19:AL52" si="23">T19+AF19-AK19</f>
        <v>4192401.4505689079</v>
      </c>
      <c r="AM19" s="173">
        <f>IF(AF19/10000&lt;=$AT$15,$AV$15,IF(AF19/10000&lt;=$AU$16,$AV$16,IF(AF19/10000&lt;=$AU$17,$AV$17,IF(AF19/10000&lt;=$AU$18,$AV$18,IF(AF19/10000&lt;=$AU$19,$AV$19,IF(AF19/10000&lt;=$AU$20,$AV$20,$AV$21))))))</f>
        <v>0.3</v>
      </c>
      <c r="AN19" s="174">
        <f>AM19*AF19</f>
        <v>1500000</v>
      </c>
      <c r="AO19" s="171">
        <f t="shared" ref="AO19:AO52" si="24">VLOOKUP(AM19,$AV$15:$AW$21,2,1)</f>
        <v>427500</v>
      </c>
      <c r="AP19" s="171">
        <f>AN19-AO19</f>
        <v>1072500</v>
      </c>
      <c r="AQ19" s="174">
        <f t="shared" ref="AQ19:AQ22" si="25">AF19-AP19</f>
        <v>3927500</v>
      </c>
      <c r="AR19" s="57">
        <f t="shared" ref="AR19:AR52" si="26">AL19-AQ19</f>
        <v>264901.45056890789</v>
      </c>
      <c r="AT19" s="158">
        <f>+AU18</f>
        <v>900</v>
      </c>
      <c r="AU19" s="159">
        <v>1800</v>
      </c>
      <c r="AV19" s="73">
        <v>0.43</v>
      </c>
      <c r="AW19" s="74">
        <v>1536000</v>
      </c>
      <c r="AY19" s="128"/>
      <c r="AZ19" s="128" t="s">
        <v>62</v>
      </c>
      <c r="BA19" s="129" t="s">
        <v>63</v>
      </c>
      <c r="BB19" s="126">
        <f>BB16*0.03+60000</f>
        <v>333000</v>
      </c>
      <c r="BC19" s="126">
        <f t="shared" ref="BC19:BM19" si="27">BC16*0.03+60000</f>
        <v>333000</v>
      </c>
      <c r="BD19" s="126">
        <f t="shared" si="27"/>
        <v>333000</v>
      </c>
      <c r="BE19" s="126">
        <f t="shared" si="27"/>
        <v>333000</v>
      </c>
      <c r="BF19" s="126">
        <f t="shared" si="27"/>
        <v>333000</v>
      </c>
      <c r="BG19" s="126">
        <f t="shared" si="27"/>
        <v>333000</v>
      </c>
      <c r="BH19" s="126">
        <f t="shared" si="27"/>
        <v>333000</v>
      </c>
      <c r="BI19" s="126">
        <f t="shared" si="27"/>
        <v>333000</v>
      </c>
      <c r="BJ19" s="126">
        <f t="shared" si="27"/>
        <v>333000</v>
      </c>
      <c r="BK19" s="126">
        <f t="shared" si="27"/>
        <v>333000</v>
      </c>
      <c r="BL19" s="126">
        <f t="shared" si="27"/>
        <v>324000</v>
      </c>
      <c r="BM19" s="126">
        <f t="shared" si="27"/>
        <v>324000</v>
      </c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CA19" s="153" t="s">
        <v>84</v>
      </c>
      <c r="CB19" s="289"/>
      <c r="CC19" s="1">
        <v>500001</v>
      </c>
      <c r="CD19" s="1">
        <v>500</v>
      </c>
    </row>
    <row r="20" spans="1:82" ht="17.100000000000001" customHeight="1" thickBot="1">
      <c r="C20" s="21">
        <v>3</v>
      </c>
      <c r="D20" s="264">
        <f t="shared" si="9"/>
        <v>0.02</v>
      </c>
      <c r="E20" s="1">
        <f t="shared" si="2"/>
        <v>8140076.7324066469</v>
      </c>
      <c r="F20" s="215">
        <f t="shared" si="10"/>
        <v>0.8140076732406647</v>
      </c>
      <c r="G20" s="6">
        <f t="shared" ref="G20:G52" si="28">IF(C20&gt;$E$8,0,-PMT(D20,($E$8-C20+1),E19))</f>
        <v>460983.94575655262</v>
      </c>
      <c r="H20" s="8">
        <f t="shared" si="11"/>
        <v>292335.69716511725</v>
      </c>
      <c r="I20" s="3">
        <f t="shared" si="3"/>
        <v>168648.24859143526</v>
      </c>
      <c r="K20" s="16">
        <f t="shared" si="4"/>
        <v>1000000</v>
      </c>
      <c r="L20" s="36">
        <v>0</v>
      </c>
      <c r="M20" s="285">
        <v>0.05</v>
      </c>
      <c r="N20" s="31">
        <f t="shared" si="1"/>
        <v>150000</v>
      </c>
      <c r="O20" s="265">
        <f t="shared" si="12"/>
        <v>0.15</v>
      </c>
      <c r="P20" s="235"/>
      <c r="Q20" s="203">
        <f t="shared" si="13"/>
        <v>800000</v>
      </c>
      <c r="R20" s="1">
        <f t="shared" si="5"/>
        <v>460983.94575655262</v>
      </c>
      <c r="S20" s="107">
        <f t="shared" si="6"/>
        <v>0.4609839457565526</v>
      </c>
      <c r="T20" s="99">
        <f t="shared" si="14"/>
        <v>339016.05424344738</v>
      </c>
      <c r="U20" s="41">
        <f t="shared" si="7"/>
        <v>28251.337853620615</v>
      </c>
      <c r="V20" s="102">
        <f t="shared" si="15"/>
        <v>3390160.5424344735</v>
      </c>
      <c r="W20" s="23">
        <v>3</v>
      </c>
      <c r="X20" s="56">
        <f t="shared" si="8"/>
        <v>168648.24859143526</v>
      </c>
      <c r="Y20" s="189">
        <f t="shared" ref="Y20:Y47" si="29">+ROUND(X20*$O$4,)</f>
        <v>79364</v>
      </c>
      <c r="Z20" s="189">
        <f t="shared" si="16"/>
        <v>0</v>
      </c>
      <c r="AA20" s="189">
        <f t="shared" si="17"/>
        <v>252780.75140856474</v>
      </c>
      <c r="AB20" s="57">
        <f t="shared" si="18"/>
        <v>378571</v>
      </c>
      <c r="AC20" s="56">
        <f t="shared" ref="AC20:AC52" si="30">Q20-X20-AB20+Z20</f>
        <v>252780.75140856474</v>
      </c>
      <c r="AD20" s="56"/>
      <c r="AE20" s="56"/>
      <c r="AF20" s="93">
        <f t="shared" ref="AF20:AF52" si="31">$AF$18</f>
        <v>5000000</v>
      </c>
      <c r="AG20" s="56">
        <f t="shared" si="19"/>
        <v>5252780.7514085649</v>
      </c>
      <c r="AH20" s="164">
        <f t="shared" si="20"/>
        <v>0.3</v>
      </c>
      <c r="AI20" s="57">
        <f>AG20*AH20</f>
        <v>1575834.2254225693</v>
      </c>
      <c r="AJ20" s="167">
        <f t="shared" si="21"/>
        <v>427500</v>
      </c>
      <c r="AK20" s="57">
        <f t="shared" si="22"/>
        <v>1148334.2254225693</v>
      </c>
      <c r="AL20" s="57">
        <f t="shared" si="23"/>
        <v>4190681.8288208777</v>
      </c>
      <c r="AM20" s="173">
        <f t="shared" ref="AM20:AM52" si="32">IF(AF20/10000&lt;=$AT$15,$AV$15,IF(AF20/10000&lt;=$AU$16,$AV$16,IF(AF20/10000&lt;=$AU$17,$AV$17,IF(AF20/10000&lt;=$AU$18,$AV$18,IF(AF20/10000&lt;=$AU$19,$AV$19,IF(AF20/10000&lt;=$AU$20,$AV$20,$AV$21))))))</f>
        <v>0.3</v>
      </c>
      <c r="AN20" s="174">
        <f t="shared" ref="AN20:AN52" si="33">AM20*AF20</f>
        <v>1500000</v>
      </c>
      <c r="AO20" s="171">
        <f t="shared" si="24"/>
        <v>427500</v>
      </c>
      <c r="AP20" s="171">
        <f t="shared" ref="AP20:AP52" si="34">AN20-AO20</f>
        <v>1072500</v>
      </c>
      <c r="AQ20" s="174">
        <f t="shared" si="25"/>
        <v>3927500</v>
      </c>
      <c r="AR20" s="57">
        <f t="shared" si="26"/>
        <v>263181.82882087771</v>
      </c>
      <c r="AT20" s="158">
        <f>+AU19</f>
        <v>1800</v>
      </c>
      <c r="AU20" s="159">
        <v>4000</v>
      </c>
      <c r="AV20" s="73">
        <v>0.5</v>
      </c>
      <c r="AW20" s="74">
        <v>2796000</v>
      </c>
      <c r="AY20" s="130"/>
      <c r="AZ20" s="130"/>
      <c r="BA20" s="129" t="s">
        <v>64</v>
      </c>
      <c r="BB20" s="131">
        <v>20000</v>
      </c>
      <c r="BC20" s="131">
        <v>20000</v>
      </c>
      <c r="BD20" s="131">
        <v>20000</v>
      </c>
      <c r="BE20" s="131">
        <v>20000</v>
      </c>
      <c r="BF20" s="131">
        <v>20000</v>
      </c>
      <c r="BG20" s="131">
        <v>20000</v>
      </c>
      <c r="BH20" s="131">
        <v>20000</v>
      </c>
      <c r="BI20" s="131">
        <v>20000</v>
      </c>
      <c r="BJ20" s="131">
        <v>20000</v>
      </c>
      <c r="BK20" s="131">
        <v>20000</v>
      </c>
      <c r="BL20" s="131">
        <v>20000</v>
      </c>
      <c r="BM20" s="131">
        <v>20000</v>
      </c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CA20" s="153" t="s">
        <v>85</v>
      </c>
      <c r="CB20" s="247" t="s">
        <v>86</v>
      </c>
      <c r="CC20" s="1">
        <v>2000001</v>
      </c>
      <c r="CD20" s="1">
        <v>1000</v>
      </c>
    </row>
    <row r="21" spans="1:82" ht="17.100000000000001" customHeight="1" thickBot="1">
      <c r="C21" s="21">
        <v>4</v>
      </c>
      <c r="D21" s="264">
        <f t="shared" si="9"/>
        <v>0.02</v>
      </c>
      <c r="E21" s="1">
        <f t="shared" si="2"/>
        <v>7841894.3212982276</v>
      </c>
      <c r="F21" s="215">
        <f t="shared" si="10"/>
        <v>0.78418943212982273</v>
      </c>
      <c r="G21" s="8">
        <f t="shared" si="28"/>
        <v>460983.94575655245</v>
      </c>
      <c r="H21" s="8">
        <f t="shared" si="11"/>
        <v>298182.41110841953</v>
      </c>
      <c r="I21" s="3">
        <f t="shared" si="3"/>
        <v>162801.53464813295</v>
      </c>
      <c r="K21" s="16">
        <f t="shared" si="4"/>
        <v>1000000</v>
      </c>
      <c r="L21" s="36">
        <v>0</v>
      </c>
      <c r="M21" s="285">
        <v>0.05</v>
      </c>
      <c r="N21" s="31">
        <f t="shared" si="1"/>
        <v>150000</v>
      </c>
      <c r="O21" s="265">
        <f t="shared" si="12"/>
        <v>0.15</v>
      </c>
      <c r="P21" s="235"/>
      <c r="Q21" s="203">
        <f t="shared" si="13"/>
        <v>800000</v>
      </c>
      <c r="R21" s="1">
        <f t="shared" si="5"/>
        <v>460983.94575655245</v>
      </c>
      <c r="S21" s="107">
        <f t="shared" si="6"/>
        <v>0.46098394575655244</v>
      </c>
      <c r="T21" s="99">
        <f t="shared" si="14"/>
        <v>339016.05424344755</v>
      </c>
      <c r="U21" s="41">
        <f t="shared" si="7"/>
        <v>28251.337853620629</v>
      </c>
      <c r="V21" s="102">
        <f t="shared" si="15"/>
        <v>3390160.5424344754</v>
      </c>
      <c r="W21" s="23">
        <v>4</v>
      </c>
      <c r="X21" s="56">
        <f t="shared" si="8"/>
        <v>162801.53464813295</v>
      </c>
      <c r="Y21" s="189">
        <f t="shared" si="29"/>
        <v>76612</v>
      </c>
      <c r="Z21" s="189">
        <f t="shared" si="16"/>
        <v>0</v>
      </c>
      <c r="AA21" s="189">
        <f t="shared" si="17"/>
        <v>258627.46535186702</v>
      </c>
      <c r="AB21" s="57">
        <f t="shared" si="18"/>
        <v>378571</v>
      </c>
      <c r="AC21" s="56">
        <f t="shared" si="30"/>
        <v>258627.46535186702</v>
      </c>
      <c r="AD21" s="56"/>
      <c r="AE21" s="56"/>
      <c r="AF21" s="93">
        <f t="shared" si="31"/>
        <v>5000000</v>
      </c>
      <c r="AG21" s="56">
        <f t="shared" si="19"/>
        <v>5258627.4653518666</v>
      </c>
      <c r="AH21" s="164">
        <f t="shared" si="20"/>
        <v>0.3</v>
      </c>
      <c r="AI21" s="57">
        <f t="shared" ref="AI21:AI52" si="35">AG21*AH21</f>
        <v>1577588.23960556</v>
      </c>
      <c r="AJ21" s="167">
        <f t="shared" si="21"/>
        <v>427500</v>
      </c>
      <c r="AK21" s="57">
        <f t="shared" si="22"/>
        <v>1150088.23960556</v>
      </c>
      <c r="AL21" s="57">
        <f t="shared" si="23"/>
        <v>4188927.8146378873</v>
      </c>
      <c r="AM21" s="173">
        <f t="shared" si="32"/>
        <v>0.3</v>
      </c>
      <c r="AN21" s="174">
        <f t="shared" si="33"/>
        <v>1500000</v>
      </c>
      <c r="AO21" s="171">
        <f t="shared" si="24"/>
        <v>427500</v>
      </c>
      <c r="AP21" s="171">
        <f t="shared" si="34"/>
        <v>1072500</v>
      </c>
      <c r="AQ21" s="174">
        <f t="shared" si="25"/>
        <v>3927500</v>
      </c>
      <c r="AR21" s="57">
        <f t="shared" si="26"/>
        <v>261427.81463788729</v>
      </c>
      <c r="AT21" s="160">
        <f>+AU20</f>
        <v>4000</v>
      </c>
      <c r="AU21" s="161"/>
      <c r="AV21" s="75">
        <v>0.55000000000000004</v>
      </c>
      <c r="AW21" s="76">
        <v>4796000</v>
      </c>
      <c r="AY21" s="130"/>
      <c r="AZ21" s="130"/>
      <c r="BA21" s="129" t="s">
        <v>65</v>
      </c>
      <c r="BB21" s="131">
        <f t="shared" ref="BB21:BM21" si="36">VLOOKUP(BB16,$CC$17:$CD$26,2,TRUE)</f>
        <v>5000</v>
      </c>
      <c r="BC21" s="131">
        <f t="shared" si="36"/>
        <v>5000</v>
      </c>
      <c r="BD21" s="131">
        <f t="shared" si="36"/>
        <v>5000</v>
      </c>
      <c r="BE21" s="131">
        <f t="shared" si="36"/>
        <v>5000</v>
      </c>
      <c r="BF21" s="131">
        <f t="shared" si="36"/>
        <v>5000</v>
      </c>
      <c r="BG21" s="131">
        <f t="shared" si="36"/>
        <v>5000</v>
      </c>
      <c r="BH21" s="131">
        <f t="shared" si="36"/>
        <v>5000</v>
      </c>
      <c r="BI21" s="131">
        <f t="shared" si="36"/>
        <v>5000</v>
      </c>
      <c r="BJ21" s="131">
        <f t="shared" si="36"/>
        <v>5000</v>
      </c>
      <c r="BK21" s="131">
        <f t="shared" si="36"/>
        <v>5000</v>
      </c>
      <c r="BL21" s="131">
        <f t="shared" si="36"/>
        <v>5000</v>
      </c>
      <c r="BM21" s="131">
        <f t="shared" si="36"/>
        <v>5000</v>
      </c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CA21" s="153" t="s">
        <v>87</v>
      </c>
      <c r="CB21" s="287" t="s">
        <v>88</v>
      </c>
      <c r="CC21" s="1">
        <v>5000001</v>
      </c>
      <c r="CD21" s="1">
        <v>5000</v>
      </c>
    </row>
    <row r="22" spans="1:82" ht="17.100000000000001" customHeight="1" thickBot="1">
      <c r="C22" s="21">
        <v>5</v>
      </c>
      <c r="D22" s="264">
        <f t="shared" si="9"/>
        <v>0.02</v>
      </c>
      <c r="E22" s="1">
        <f t="shared" si="2"/>
        <v>7537748.2619676394</v>
      </c>
      <c r="F22" s="215">
        <f t="shared" si="10"/>
        <v>0.75377482619676395</v>
      </c>
      <c r="G22" s="6">
        <f t="shared" si="28"/>
        <v>460983.94575655251</v>
      </c>
      <c r="H22" s="8">
        <f t="shared" si="11"/>
        <v>304146.05933058797</v>
      </c>
      <c r="I22" s="3">
        <f t="shared" si="3"/>
        <v>156837.88642596453</v>
      </c>
      <c r="K22" s="16">
        <f t="shared" si="4"/>
        <v>1000000</v>
      </c>
      <c r="L22" s="36">
        <v>0</v>
      </c>
      <c r="M22" s="285">
        <v>0.05</v>
      </c>
      <c r="N22" s="31">
        <f t="shared" si="1"/>
        <v>150000</v>
      </c>
      <c r="O22" s="201">
        <f t="shared" si="12"/>
        <v>0.15</v>
      </c>
      <c r="P22" s="233"/>
      <c r="Q22" s="204">
        <f t="shared" si="13"/>
        <v>800000</v>
      </c>
      <c r="R22" s="1">
        <f t="shared" si="5"/>
        <v>460983.94575655251</v>
      </c>
      <c r="S22" s="107">
        <f t="shared" si="6"/>
        <v>0.46098394575655249</v>
      </c>
      <c r="T22" s="99">
        <f t="shared" si="14"/>
        <v>339016.05424344749</v>
      </c>
      <c r="U22" s="43">
        <f t="shared" si="7"/>
        <v>28251.337853620626</v>
      </c>
      <c r="V22" s="102">
        <f t="shared" si="15"/>
        <v>3390160.5424344749</v>
      </c>
      <c r="W22" s="23">
        <v>5</v>
      </c>
      <c r="X22" s="56">
        <f t="shared" si="8"/>
        <v>156837.88642596453</v>
      </c>
      <c r="Y22" s="189">
        <f t="shared" si="29"/>
        <v>73806</v>
      </c>
      <c r="Z22" s="189">
        <f t="shared" si="16"/>
        <v>0</v>
      </c>
      <c r="AA22" s="189">
        <f t="shared" si="17"/>
        <v>264591.11357403547</v>
      </c>
      <c r="AB22" s="68">
        <f t="shared" si="18"/>
        <v>378571</v>
      </c>
      <c r="AC22" s="61">
        <f t="shared" si="30"/>
        <v>264591.11357403547</v>
      </c>
      <c r="AD22" s="56"/>
      <c r="AE22" s="56"/>
      <c r="AF22" s="114">
        <f t="shared" si="31"/>
        <v>5000000</v>
      </c>
      <c r="AG22" s="56">
        <f t="shared" si="19"/>
        <v>5264591.1135740355</v>
      </c>
      <c r="AH22" s="164">
        <f t="shared" si="20"/>
        <v>0.3</v>
      </c>
      <c r="AI22" s="57">
        <f t="shared" si="35"/>
        <v>1579377.3340722106</v>
      </c>
      <c r="AJ22" s="167">
        <f t="shared" si="21"/>
        <v>427500</v>
      </c>
      <c r="AK22" s="68">
        <f t="shared" si="22"/>
        <v>1151877.3340722106</v>
      </c>
      <c r="AL22" s="68">
        <f>T22+AF22-AK22</f>
        <v>4187138.7201712364</v>
      </c>
      <c r="AM22" s="175">
        <f t="shared" si="32"/>
        <v>0.3</v>
      </c>
      <c r="AN22" s="176">
        <f t="shared" si="33"/>
        <v>1500000</v>
      </c>
      <c r="AO22" s="177">
        <f t="shared" si="24"/>
        <v>427500</v>
      </c>
      <c r="AP22" s="177">
        <f t="shared" si="34"/>
        <v>1072500</v>
      </c>
      <c r="AQ22" s="176">
        <f t="shared" si="25"/>
        <v>3927500</v>
      </c>
      <c r="AR22" s="68">
        <f>AL22-AQ22</f>
        <v>259638.72017123643</v>
      </c>
      <c r="AY22" s="132"/>
      <c r="AZ22" s="132"/>
      <c r="BA22" s="133">
        <v>0</v>
      </c>
      <c r="BB22" s="131">
        <f t="shared" ref="BB22:BM22" si="37">BB17*$BA$22</f>
        <v>0</v>
      </c>
      <c r="BC22" s="131">
        <f t="shared" si="37"/>
        <v>0</v>
      </c>
      <c r="BD22" s="131">
        <f t="shared" si="37"/>
        <v>0</v>
      </c>
      <c r="BE22" s="131">
        <f t="shared" si="37"/>
        <v>0</v>
      </c>
      <c r="BF22" s="131">
        <f t="shared" si="37"/>
        <v>0</v>
      </c>
      <c r="BG22" s="131">
        <f t="shared" si="37"/>
        <v>0</v>
      </c>
      <c r="BH22" s="131">
        <f t="shared" si="37"/>
        <v>0</v>
      </c>
      <c r="BI22" s="131">
        <f t="shared" si="37"/>
        <v>0</v>
      </c>
      <c r="BJ22" s="131">
        <f t="shared" si="37"/>
        <v>0</v>
      </c>
      <c r="BK22" s="131">
        <f t="shared" si="37"/>
        <v>0</v>
      </c>
      <c r="BL22" s="131">
        <f t="shared" si="37"/>
        <v>0</v>
      </c>
      <c r="BM22" s="131">
        <f t="shared" si="37"/>
        <v>0</v>
      </c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CA22" s="153" t="s">
        <v>89</v>
      </c>
      <c r="CB22" s="288"/>
      <c r="CC22" s="1">
        <v>10000001</v>
      </c>
      <c r="CD22" s="1">
        <v>10000</v>
      </c>
    </row>
    <row r="23" spans="1:82" ht="17.100000000000001" customHeight="1" thickBot="1">
      <c r="C23" s="25">
        <v>6</v>
      </c>
      <c r="D23" s="266">
        <f>D17</f>
        <v>0.02</v>
      </c>
      <c r="E23" s="15">
        <f t="shared" si="2"/>
        <v>7227519.2814504392</v>
      </c>
      <c r="F23" s="216">
        <f t="shared" si="10"/>
        <v>0.72275192814504396</v>
      </c>
      <c r="G23" s="26">
        <f t="shared" si="28"/>
        <v>460983.94575655251</v>
      </c>
      <c r="H23" s="27">
        <f t="shared" si="11"/>
        <v>310228.98051719973</v>
      </c>
      <c r="I23" s="28">
        <f t="shared" si="3"/>
        <v>150754.96523935278</v>
      </c>
      <c r="K23" s="14">
        <f t="shared" si="4"/>
        <v>1000000</v>
      </c>
      <c r="L23" s="284">
        <v>0</v>
      </c>
      <c r="M23" s="284">
        <v>0.05</v>
      </c>
      <c r="N23" s="32">
        <f t="shared" si="1"/>
        <v>150000</v>
      </c>
      <c r="O23" s="265">
        <f t="shared" si="12"/>
        <v>0.15</v>
      </c>
      <c r="P23" s="235"/>
      <c r="Q23" s="203">
        <f t="shared" si="13"/>
        <v>800000</v>
      </c>
      <c r="R23" s="15">
        <f t="shared" si="5"/>
        <v>460983.94575655251</v>
      </c>
      <c r="S23" s="108">
        <f t="shared" si="6"/>
        <v>0.46098394575655249</v>
      </c>
      <c r="T23" s="100">
        <f t="shared" si="14"/>
        <v>339016.05424344749</v>
      </c>
      <c r="U23" s="41">
        <f t="shared" si="7"/>
        <v>28251.337853620626</v>
      </c>
      <c r="V23" s="103">
        <f t="shared" si="15"/>
        <v>3390160.5424344749</v>
      </c>
      <c r="W23" s="29">
        <v>6</v>
      </c>
      <c r="X23" s="59">
        <f t="shared" si="8"/>
        <v>150754.96523935278</v>
      </c>
      <c r="Y23" s="190">
        <f t="shared" si="29"/>
        <v>70944</v>
      </c>
      <c r="Z23" s="190">
        <f t="shared" si="16"/>
        <v>0</v>
      </c>
      <c r="AA23" s="190">
        <f t="shared" si="17"/>
        <v>270674.03476064722</v>
      </c>
      <c r="AB23" s="57">
        <f t="shared" si="18"/>
        <v>378571</v>
      </c>
      <c r="AC23" s="56">
        <f>Q23-X23-AB23+Z23</f>
        <v>270674.03476064722</v>
      </c>
      <c r="AD23" s="59"/>
      <c r="AE23" s="59"/>
      <c r="AF23" s="93">
        <f t="shared" si="31"/>
        <v>5000000</v>
      </c>
      <c r="AG23" s="59">
        <f>AC23+AF23</f>
        <v>5270674.0347606475</v>
      </c>
      <c r="AH23" s="165">
        <f t="shared" si="20"/>
        <v>0.3</v>
      </c>
      <c r="AI23" s="67">
        <f t="shared" si="35"/>
        <v>1581202.2104281941</v>
      </c>
      <c r="AJ23" s="168">
        <f t="shared" si="21"/>
        <v>427500</v>
      </c>
      <c r="AK23" s="57">
        <f>AI23-AJ23</f>
        <v>1153702.2104281941</v>
      </c>
      <c r="AL23" s="57">
        <f>T23+AF23-AK23</f>
        <v>4185313.8438152531</v>
      </c>
      <c r="AM23" s="173">
        <f t="shared" si="32"/>
        <v>0.3</v>
      </c>
      <c r="AN23" s="174">
        <f t="shared" si="33"/>
        <v>1500000</v>
      </c>
      <c r="AO23" s="171">
        <f t="shared" si="24"/>
        <v>427500</v>
      </c>
      <c r="AP23" s="171">
        <f t="shared" si="34"/>
        <v>1072500</v>
      </c>
      <c r="AQ23" s="174">
        <f>AF23-(AF23*AH23-AJ23)</f>
        <v>3927500</v>
      </c>
      <c r="AR23" s="116">
        <f t="shared" ref="AR23" si="38">AL23-AQ23</f>
        <v>257813.84381525312</v>
      </c>
      <c r="AY23" s="132"/>
      <c r="AZ23" s="132"/>
      <c r="BA23" s="134" t="s">
        <v>66</v>
      </c>
      <c r="BB23" s="131">
        <f>SUM(BB19:BB21)</f>
        <v>358000</v>
      </c>
      <c r="BC23" s="131">
        <f t="shared" ref="BC23:BG23" si="39">SUM(BC19:BC21)</f>
        <v>358000</v>
      </c>
      <c r="BD23" s="131">
        <f t="shared" si="39"/>
        <v>358000</v>
      </c>
      <c r="BE23" s="131">
        <f t="shared" si="39"/>
        <v>358000</v>
      </c>
      <c r="BF23" s="131">
        <f t="shared" si="39"/>
        <v>358000</v>
      </c>
      <c r="BG23" s="131">
        <f t="shared" si="39"/>
        <v>358000</v>
      </c>
      <c r="BH23" s="131">
        <f>SUM(BH19:BH21)</f>
        <v>358000</v>
      </c>
      <c r="BI23" s="131">
        <f t="shared" ref="BI23:BM23" si="40">SUM(BI19:BI21)</f>
        <v>358000</v>
      </c>
      <c r="BJ23" s="131">
        <f t="shared" si="40"/>
        <v>358000</v>
      </c>
      <c r="BK23" s="131">
        <f t="shared" si="40"/>
        <v>358000</v>
      </c>
      <c r="BL23" s="131">
        <f t="shared" si="40"/>
        <v>349000</v>
      </c>
      <c r="BM23" s="131">
        <f t="shared" si="40"/>
        <v>349000</v>
      </c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CA23" s="153" t="s">
        <v>90</v>
      </c>
      <c r="CB23" s="289"/>
      <c r="CC23" s="1">
        <v>50000001</v>
      </c>
      <c r="CD23" s="1">
        <v>30000</v>
      </c>
    </row>
    <row r="24" spans="1:82" ht="17.100000000000001" customHeight="1" thickBot="1">
      <c r="C24" s="21">
        <v>7</v>
      </c>
      <c r="D24" s="264">
        <f t="shared" si="9"/>
        <v>0.02</v>
      </c>
      <c r="E24" s="1">
        <f t="shared" si="2"/>
        <v>6911085.721322896</v>
      </c>
      <c r="F24" s="215">
        <f t="shared" si="10"/>
        <v>0.6911085721322896</v>
      </c>
      <c r="G24" s="6">
        <f t="shared" si="28"/>
        <v>460983.94575655245</v>
      </c>
      <c r="H24" s="8">
        <f t="shared" si="11"/>
        <v>316433.56012754369</v>
      </c>
      <c r="I24" s="3">
        <f t="shared" si="3"/>
        <v>144550.38562900879</v>
      </c>
      <c r="K24" s="16">
        <f t="shared" si="4"/>
        <v>1000000</v>
      </c>
      <c r="L24" s="36">
        <v>0</v>
      </c>
      <c r="M24" s="285">
        <v>0.05</v>
      </c>
      <c r="N24" s="31">
        <f t="shared" si="1"/>
        <v>150000</v>
      </c>
      <c r="O24" s="265">
        <f t="shared" si="12"/>
        <v>0.15</v>
      </c>
      <c r="P24" s="235"/>
      <c r="Q24" s="203">
        <f t="shared" si="13"/>
        <v>800000</v>
      </c>
      <c r="R24" s="1">
        <f t="shared" si="5"/>
        <v>460983.94575655245</v>
      </c>
      <c r="S24" s="107">
        <f t="shared" si="6"/>
        <v>0.46098394575655244</v>
      </c>
      <c r="T24" s="99">
        <f t="shared" si="14"/>
        <v>339016.05424344755</v>
      </c>
      <c r="U24" s="41">
        <f t="shared" si="7"/>
        <v>28251.337853620629</v>
      </c>
      <c r="V24" s="104">
        <f t="shared" si="15"/>
        <v>3390160.5424344754</v>
      </c>
      <c r="W24" s="23">
        <v>7</v>
      </c>
      <c r="X24" s="56">
        <f t="shared" si="8"/>
        <v>144550.38562900879</v>
      </c>
      <c r="Y24" s="189">
        <f t="shared" si="29"/>
        <v>68024</v>
      </c>
      <c r="Z24" s="189">
        <f t="shared" si="16"/>
        <v>0</v>
      </c>
      <c r="AA24" s="189">
        <f t="shared" si="17"/>
        <v>276878.61437099124</v>
      </c>
      <c r="AB24" s="57">
        <f t="shared" si="18"/>
        <v>378571</v>
      </c>
      <c r="AC24" s="56">
        <f t="shared" si="30"/>
        <v>276878.61437099124</v>
      </c>
      <c r="AD24" s="56"/>
      <c r="AE24" s="56"/>
      <c r="AF24" s="93">
        <f t="shared" si="31"/>
        <v>5000000</v>
      </c>
      <c r="AG24" s="56">
        <f t="shared" si="19"/>
        <v>5276878.6143709915</v>
      </c>
      <c r="AH24" s="164">
        <f t="shared" si="20"/>
        <v>0.3</v>
      </c>
      <c r="AI24" s="57">
        <f t="shared" si="35"/>
        <v>1583063.5843112974</v>
      </c>
      <c r="AJ24" s="167">
        <f t="shared" si="21"/>
        <v>427500</v>
      </c>
      <c r="AK24" s="57">
        <f t="shared" si="22"/>
        <v>1155563.5843112974</v>
      </c>
      <c r="AL24" s="57">
        <f t="shared" si="23"/>
        <v>4183452.4699321501</v>
      </c>
      <c r="AM24" s="173">
        <f t="shared" si="32"/>
        <v>0.3</v>
      </c>
      <c r="AN24" s="174">
        <f t="shared" si="33"/>
        <v>1500000</v>
      </c>
      <c r="AO24" s="171">
        <f t="shared" si="24"/>
        <v>427500</v>
      </c>
      <c r="AP24" s="171">
        <f t="shared" si="34"/>
        <v>1072500</v>
      </c>
      <c r="AQ24" s="174">
        <f t="shared" ref="AQ24:AQ52" si="41">AF24-(AF24*AH24-AJ24)</f>
        <v>3927500</v>
      </c>
      <c r="AR24" s="57">
        <f t="shared" si="26"/>
        <v>255952.4699321501</v>
      </c>
      <c r="AT24" s="267"/>
      <c r="AU24" s="267"/>
      <c r="AW24"/>
      <c r="AY24" s="132" t="s">
        <v>67</v>
      </c>
      <c r="AZ24" s="132"/>
      <c r="BA24" s="135" t="s">
        <v>68</v>
      </c>
      <c r="BB24" s="131">
        <f>SUM(BB19:BB22)</f>
        <v>358000</v>
      </c>
      <c r="BC24" s="131">
        <f t="shared" ref="BC24:BG24" si="42">SUM(BC19:BC22)</f>
        <v>358000</v>
      </c>
      <c r="BD24" s="131">
        <f t="shared" si="42"/>
        <v>358000</v>
      </c>
      <c r="BE24" s="131">
        <f t="shared" si="42"/>
        <v>358000</v>
      </c>
      <c r="BF24" s="131">
        <f t="shared" si="42"/>
        <v>358000</v>
      </c>
      <c r="BG24" s="131">
        <f t="shared" si="42"/>
        <v>358000</v>
      </c>
      <c r="BH24" s="131">
        <f>SUM(BH19:BH22)</f>
        <v>358000</v>
      </c>
      <c r="BI24" s="131">
        <f t="shared" ref="BI24:BM24" si="43">SUM(BI19:BI22)</f>
        <v>358000</v>
      </c>
      <c r="BJ24" s="131">
        <f t="shared" si="43"/>
        <v>358000</v>
      </c>
      <c r="BK24" s="131">
        <f t="shared" si="43"/>
        <v>358000</v>
      </c>
      <c r="BL24" s="131">
        <f t="shared" si="43"/>
        <v>349000</v>
      </c>
      <c r="BM24" s="131">
        <f t="shared" si="43"/>
        <v>349000</v>
      </c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CA24" s="153" t="s">
        <v>91</v>
      </c>
      <c r="CB24" s="247" t="s">
        <v>92</v>
      </c>
      <c r="CC24" s="1">
        <v>100000001</v>
      </c>
      <c r="CD24" s="1">
        <v>60000</v>
      </c>
    </row>
    <row r="25" spans="1:82" ht="17.100000000000001" customHeight="1" thickBot="1">
      <c r="C25" s="21">
        <v>8</v>
      </c>
      <c r="D25" s="264">
        <f t="shared" si="9"/>
        <v>0.02</v>
      </c>
      <c r="E25" s="1">
        <f t="shared" si="2"/>
        <v>6588323.4899928011</v>
      </c>
      <c r="F25" s="215">
        <f t="shared" si="10"/>
        <v>0.65883234899928012</v>
      </c>
      <c r="G25" s="6">
        <f t="shared" si="28"/>
        <v>460983.94575655245</v>
      </c>
      <c r="H25" s="8">
        <f t="shared" si="11"/>
        <v>322762.23133009451</v>
      </c>
      <c r="I25" s="3">
        <f t="shared" si="3"/>
        <v>138221.71442645791</v>
      </c>
      <c r="K25" s="16">
        <f t="shared" si="4"/>
        <v>1000000</v>
      </c>
      <c r="L25" s="36">
        <v>0</v>
      </c>
      <c r="M25" s="285">
        <v>0.05</v>
      </c>
      <c r="N25" s="31">
        <f t="shared" si="1"/>
        <v>150000</v>
      </c>
      <c r="O25" s="265">
        <f t="shared" si="12"/>
        <v>0.15</v>
      </c>
      <c r="P25" s="235"/>
      <c r="Q25" s="203">
        <f t="shared" si="13"/>
        <v>800000</v>
      </c>
      <c r="R25" s="1">
        <f t="shared" si="5"/>
        <v>460983.94575655245</v>
      </c>
      <c r="S25" s="107">
        <f t="shared" si="6"/>
        <v>0.46098394575655244</v>
      </c>
      <c r="T25" s="99">
        <f t="shared" si="14"/>
        <v>339016.05424344755</v>
      </c>
      <c r="U25" s="41">
        <f t="shared" si="7"/>
        <v>28251.337853620629</v>
      </c>
      <c r="V25" s="104">
        <f t="shared" si="15"/>
        <v>3390160.5424344754</v>
      </c>
      <c r="W25" s="23">
        <v>8</v>
      </c>
      <c r="X25" s="56">
        <f t="shared" si="8"/>
        <v>138221.71442645791</v>
      </c>
      <c r="Y25" s="189">
        <f t="shared" si="29"/>
        <v>65046</v>
      </c>
      <c r="Z25" s="189">
        <f t="shared" si="16"/>
        <v>0</v>
      </c>
      <c r="AA25" s="189">
        <f t="shared" si="17"/>
        <v>283207.28557354212</v>
      </c>
      <c r="AB25" s="57">
        <f t="shared" si="18"/>
        <v>378571</v>
      </c>
      <c r="AC25" s="56">
        <f t="shared" si="30"/>
        <v>283207.28557354212</v>
      </c>
      <c r="AD25" s="56"/>
      <c r="AE25" s="56"/>
      <c r="AF25" s="93">
        <f t="shared" si="31"/>
        <v>5000000</v>
      </c>
      <c r="AG25" s="56">
        <f t="shared" si="19"/>
        <v>5283207.2855735421</v>
      </c>
      <c r="AH25" s="164">
        <f t="shared" si="20"/>
        <v>0.3</v>
      </c>
      <c r="AI25" s="57">
        <f t="shared" si="35"/>
        <v>1584962.1856720627</v>
      </c>
      <c r="AJ25" s="167">
        <f t="shared" si="21"/>
        <v>427500</v>
      </c>
      <c r="AK25" s="57">
        <f t="shared" si="22"/>
        <v>1157462.1856720627</v>
      </c>
      <c r="AL25" s="57">
        <f t="shared" si="23"/>
        <v>4181553.8685713848</v>
      </c>
      <c r="AM25" s="173">
        <f t="shared" si="32"/>
        <v>0.3</v>
      </c>
      <c r="AN25" s="174">
        <f t="shared" si="33"/>
        <v>1500000</v>
      </c>
      <c r="AO25" s="171">
        <f t="shared" si="24"/>
        <v>427500</v>
      </c>
      <c r="AP25" s="171">
        <f t="shared" si="34"/>
        <v>1072500</v>
      </c>
      <c r="AQ25" s="174">
        <f t="shared" si="41"/>
        <v>3927500</v>
      </c>
      <c r="AR25" s="57">
        <f t="shared" si="26"/>
        <v>254053.86857138481</v>
      </c>
      <c r="AT25" s="268"/>
      <c r="AU25" s="268"/>
      <c r="AV25" s="268"/>
      <c r="AW25" s="268"/>
      <c r="AY25" s="124" t="s">
        <v>69</v>
      </c>
      <c r="AZ25" s="124" t="s">
        <v>74</v>
      </c>
      <c r="BA25" s="125"/>
      <c r="BB25" s="126">
        <f>BB16-(BB18+BB23)</f>
        <v>-879429</v>
      </c>
      <c r="BC25" s="126">
        <f>BC16-(BC18+BC23)</f>
        <v>-500858</v>
      </c>
      <c r="BD25" s="126">
        <f>BD16-(BD18+BD23)</f>
        <v>-122287</v>
      </c>
      <c r="BE25" s="126">
        <f t="shared" ref="BE25:BG25" si="44">BE16-(BE18+BE23)</f>
        <v>256284</v>
      </c>
      <c r="BF25" s="126">
        <f>BF16-(BF18+BF23)</f>
        <v>634855</v>
      </c>
      <c r="BG25" s="126">
        <f t="shared" si="44"/>
        <v>1013426</v>
      </c>
      <c r="BH25" s="126">
        <f>BH16-(BH18+BH23)</f>
        <v>1391997</v>
      </c>
      <c r="BI25" s="126">
        <f>BI16-(BI18+BI23)</f>
        <v>1770568</v>
      </c>
      <c r="BJ25" s="126">
        <f>BJ16-(BJ18+BJ23)</f>
        <v>2149139</v>
      </c>
      <c r="BK25" s="126">
        <f>BK16-(BK18+BK23)</f>
        <v>2527710</v>
      </c>
      <c r="BL25" s="126">
        <f t="shared" ref="BL25:BM25" si="45">BL16-(BL18+BL23)</f>
        <v>2615281</v>
      </c>
      <c r="BM25" s="126">
        <f t="shared" si="45"/>
        <v>2993852</v>
      </c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CA25" s="153" t="s">
        <v>93</v>
      </c>
      <c r="CB25" s="247" t="s">
        <v>94</v>
      </c>
      <c r="CC25" s="1">
        <v>500000001</v>
      </c>
      <c r="CD25" s="1">
        <v>160000</v>
      </c>
    </row>
    <row r="26" spans="1:82" ht="17.100000000000001" customHeight="1" thickBot="1">
      <c r="C26" s="21">
        <v>9</v>
      </c>
      <c r="D26" s="264">
        <f t="shared" si="9"/>
        <v>0.02</v>
      </c>
      <c r="E26" s="1">
        <f t="shared" si="2"/>
        <v>6259106.014036105</v>
      </c>
      <c r="F26" s="215">
        <f t="shared" si="10"/>
        <v>0.62591060140361054</v>
      </c>
      <c r="G26" s="6">
        <f t="shared" si="28"/>
        <v>460983.94575655245</v>
      </c>
      <c r="H26" s="8">
        <f t="shared" si="11"/>
        <v>329217.47595669643</v>
      </c>
      <c r="I26" s="3">
        <f t="shared" si="3"/>
        <v>131766.46979985602</v>
      </c>
      <c r="K26" s="16">
        <f t="shared" si="4"/>
        <v>1000000</v>
      </c>
      <c r="L26" s="36">
        <v>0</v>
      </c>
      <c r="M26" s="285">
        <v>0.05</v>
      </c>
      <c r="N26" s="31">
        <f t="shared" si="1"/>
        <v>150000</v>
      </c>
      <c r="O26" s="265">
        <f t="shared" si="12"/>
        <v>0.15</v>
      </c>
      <c r="P26" s="235"/>
      <c r="Q26" s="203">
        <f t="shared" si="13"/>
        <v>800000</v>
      </c>
      <c r="R26" s="1">
        <f t="shared" si="5"/>
        <v>460983.94575655245</v>
      </c>
      <c r="S26" s="107">
        <f t="shared" si="6"/>
        <v>0.46098394575655244</v>
      </c>
      <c r="T26" s="99">
        <f t="shared" si="14"/>
        <v>339016.05424344755</v>
      </c>
      <c r="U26" s="41">
        <f t="shared" si="7"/>
        <v>28251.337853620629</v>
      </c>
      <c r="V26" s="104">
        <f t="shared" si="15"/>
        <v>3390160.5424344754</v>
      </c>
      <c r="W26" s="23">
        <v>9</v>
      </c>
      <c r="X26" s="56">
        <f t="shared" si="8"/>
        <v>131766.46979985602</v>
      </c>
      <c r="Y26" s="189">
        <f t="shared" si="29"/>
        <v>62008</v>
      </c>
      <c r="Z26" s="189">
        <f t="shared" si="16"/>
        <v>0</v>
      </c>
      <c r="AA26" s="189">
        <f t="shared" si="17"/>
        <v>289662.53020014404</v>
      </c>
      <c r="AB26" s="57">
        <f t="shared" si="18"/>
        <v>378571</v>
      </c>
      <c r="AC26" s="56">
        <f t="shared" si="30"/>
        <v>289662.53020014404</v>
      </c>
      <c r="AD26" s="56"/>
      <c r="AE26" s="56"/>
      <c r="AF26" s="93">
        <f t="shared" si="31"/>
        <v>5000000</v>
      </c>
      <c r="AG26" s="56">
        <f t="shared" si="19"/>
        <v>5289662.5302001443</v>
      </c>
      <c r="AH26" s="164">
        <f t="shared" si="20"/>
        <v>0.3</v>
      </c>
      <c r="AI26" s="57">
        <f t="shared" si="35"/>
        <v>1586898.7590600431</v>
      </c>
      <c r="AJ26" s="167">
        <f t="shared" si="21"/>
        <v>427500</v>
      </c>
      <c r="AK26" s="57">
        <f t="shared" si="22"/>
        <v>1159398.7590600431</v>
      </c>
      <c r="AL26" s="57">
        <f t="shared" si="23"/>
        <v>4179617.2951834043</v>
      </c>
      <c r="AM26" s="173">
        <f t="shared" si="32"/>
        <v>0.3</v>
      </c>
      <c r="AN26" s="174">
        <f t="shared" si="33"/>
        <v>1500000</v>
      </c>
      <c r="AO26" s="171">
        <f t="shared" si="24"/>
        <v>427500</v>
      </c>
      <c r="AP26" s="171">
        <f t="shared" si="34"/>
        <v>1072500</v>
      </c>
      <c r="AQ26" s="174">
        <f t="shared" si="41"/>
        <v>3927500</v>
      </c>
      <c r="AR26" s="57">
        <f t="shared" si="26"/>
        <v>252117.29518340435</v>
      </c>
      <c r="AT26" s="269"/>
      <c r="AU26" s="269"/>
      <c r="AV26" s="270"/>
      <c r="AW26" s="269"/>
      <c r="AY26" s="136"/>
      <c r="AZ26" s="136" t="s">
        <v>70</v>
      </c>
      <c r="BA26" s="137" t="s">
        <v>71</v>
      </c>
      <c r="BB26" s="138">
        <f>IF(BB25&lt;=0,0,BB25*0.3963)</f>
        <v>0</v>
      </c>
      <c r="BC26" s="138">
        <f t="shared" ref="BC26:BF26" si="46">IF(BC25&lt;=0,0,BC25*0.3963)</f>
        <v>0</v>
      </c>
      <c r="BD26" s="138">
        <f t="shared" si="46"/>
        <v>0</v>
      </c>
      <c r="BE26" s="138">
        <f t="shared" si="46"/>
        <v>101565.3492</v>
      </c>
      <c r="BF26" s="138">
        <f t="shared" si="46"/>
        <v>251593.03649999999</v>
      </c>
      <c r="BG26" s="162" t="s">
        <v>5</v>
      </c>
      <c r="BH26" s="162" t="s">
        <v>5</v>
      </c>
      <c r="BI26" s="162" t="s">
        <v>5</v>
      </c>
      <c r="BJ26" s="162" t="s">
        <v>5</v>
      </c>
      <c r="BK26" s="162" t="s">
        <v>5</v>
      </c>
      <c r="BL26" s="162" t="s">
        <v>5</v>
      </c>
      <c r="BM26" s="162" t="s">
        <v>5</v>
      </c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CA26" s="153" t="s">
        <v>95</v>
      </c>
      <c r="CB26" s="247" t="s">
        <v>96</v>
      </c>
      <c r="CC26" s="1">
        <v>1000000001</v>
      </c>
      <c r="CD26" s="1">
        <v>320000</v>
      </c>
    </row>
    <row r="27" spans="1:82" ht="17.100000000000001" customHeight="1" thickBot="1">
      <c r="C27" s="22">
        <v>10</v>
      </c>
      <c r="D27" s="271">
        <f t="shared" si="9"/>
        <v>0.02</v>
      </c>
      <c r="E27" s="4">
        <f t="shared" si="2"/>
        <v>5923304.1885602744</v>
      </c>
      <c r="F27" s="217">
        <f t="shared" si="10"/>
        <v>0.59233041885602744</v>
      </c>
      <c r="G27" s="7">
        <f t="shared" si="28"/>
        <v>460983.94575655239</v>
      </c>
      <c r="H27" s="9">
        <f t="shared" si="11"/>
        <v>335801.82547583029</v>
      </c>
      <c r="I27" s="5">
        <f t="shared" si="3"/>
        <v>125182.12028072213</v>
      </c>
      <c r="K27" s="17">
        <f t="shared" si="4"/>
        <v>1000000</v>
      </c>
      <c r="L27" s="38">
        <v>0</v>
      </c>
      <c r="M27" s="286">
        <v>0.05</v>
      </c>
      <c r="N27" s="33">
        <f t="shared" si="1"/>
        <v>150000</v>
      </c>
      <c r="O27" s="201">
        <f t="shared" si="12"/>
        <v>0.15</v>
      </c>
      <c r="P27" s="233"/>
      <c r="Q27" s="204">
        <f t="shared" si="13"/>
        <v>800000</v>
      </c>
      <c r="R27" s="4">
        <f t="shared" si="5"/>
        <v>460983.94575655239</v>
      </c>
      <c r="S27" s="109">
        <f t="shared" si="6"/>
        <v>0.46098394575655238</v>
      </c>
      <c r="T27" s="101">
        <f t="shared" si="14"/>
        <v>339016.05424344761</v>
      </c>
      <c r="U27" s="43">
        <f t="shared" si="7"/>
        <v>28251.337853620633</v>
      </c>
      <c r="V27" s="105">
        <f t="shared" si="15"/>
        <v>3390160.5424344759</v>
      </c>
      <c r="W27" s="24">
        <v>10</v>
      </c>
      <c r="X27" s="61">
        <f t="shared" si="8"/>
        <v>125182.12028072213</v>
      </c>
      <c r="Y27" s="191">
        <f t="shared" si="29"/>
        <v>58909</v>
      </c>
      <c r="Z27" s="191">
        <f t="shared" si="16"/>
        <v>0</v>
      </c>
      <c r="AA27" s="191">
        <f t="shared" si="17"/>
        <v>296246.87971927784</v>
      </c>
      <c r="AB27" s="68">
        <f t="shared" si="18"/>
        <v>378571</v>
      </c>
      <c r="AC27" s="61">
        <f t="shared" si="30"/>
        <v>296246.87971927784</v>
      </c>
      <c r="AD27" s="61"/>
      <c r="AE27" s="61"/>
      <c r="AF27" s="114">
        <f t="shared" si="31"/>
        <v>5000000</v>
      </c>
      <c r="AG27" s="61">
        <f t="shared" si="19"/>
        <v>5296246.8797192778</v>
      </c>
      <c r="AH27" s="166">
        <f t="shared" si="20"/>
        <v>0.3</v>
      </c>
      <c r="AI27" s="68">
        <f t="shared" si="35"/>
        <v>1588874.0639157833</v>
      </c>
      <c r="AJ27" s="169">
        <f t="shared" si="21"/>
        <v>427500</v>
      </c>
      <c r="AK27" s="68">
        <f t="shared" si="22"/>
        <v>1161374.0639157833</v>
      </c>
      <c r="AL27" s="68">
        <f t="shared" si="23"/>
        <v>4177641.9903276637</v>
      </c>
      <c r="AM27" s="175">
        <f t="shared" si="32"/>
        <v>0.3</v>
      </c>
      <c r="AN27" s="176">
        <f t="shared" si="33"/>
        <v>1500000</v>
      </c>
      <c r="AO27" s="177">
        <f t="shared" si="24"/>
        <v>427500</v>
      </c>
      <c r="AP27" s="177">
        <f t="shared" si="34"/>
        <v>1072500</v>
      </c>
      <c r="AQ27" s="176">
        <f t="shared" si="41"/>
        <v>3927500</v>
      </c>
      <c r="AR27" s="57">
        <f t="shared" si="26"/>
        <v>250141.99032766372</v>
      </c>
      <c r="AT27" s="269"/>
      <c r="AU27" s="269"/>
      <c r="AV27" s="270"/>
      <c r="AW27" s="272"/>
      <c r="AY27" s="139"/>
      <c r="AZ27" s="139"/>
      <c r="BA27" s="140" t="s">
        <v>72</v>
      </c>
      <c r="BB27" s="162" t="s">
        <v>5</v>
      </c>
      <c r="BC27" s="162" t="s">
        <v>5</v>
      </c>
      <c r="BD27" s="162" t="s">
        <v>5</v>
      </c>
      <c r="BE27" s="162" t="s">
        <v>5</v>
      </c>
      <c r="BF27" s="162" t="s">
        <v>5</v>
      </c>
      <c r="BG27" s="138">
        <f>IF(BG25&lt;=0,0,BG25*0.20315)</f>
        <v>205877.49189999999</v>
      </c>
      <c r="BH27" s="138">
        <f t="shared" ref="BH27:BM27" si="47">IF(BH25&lt;=0,0,BH25*0.20315)</f>
        <v>282784.19055</v>
      </c>
      <c r="BI27" s="138">
        <f t="shared" si="47"/>
        <v>359690.88919999998</v>
      </c>
      <c r="BJ27" s="138">
        <f t="shared" si="47"/>
        <v>436597.58785000001</v>
      </c>
      <c r="BK27" s="138">
        <f t="shared" si="47"/>
        <v>513504.28649999999</v>
      </c>
      <c r="BL27" s="138">
        <f t="shared" si="47"/>
        <v>531294.33514999994</v>
      </c>
      <c r="BM27" s="138">
        <f t="shared" si="47"/>
        <v>608201.03379999998</v>
      </c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CA27" s="153" t="s">
        <v>97</v>
      </c>
      <c r="CB27" s="247" t="s">
        <v>98</v>
      </c>
    </row>
    <row r="28" spans="1:82" ht="17.100000000000001" customHeight="1" thickBot="1">
      <c r="C28" s="21">
        <v>11</v>
      </c>
      <c r="D28" s="264">
        <f>D17</f>
        <v>0.02</v>
      </c>
      <c r="E28" s="1">
        <f t="shared" si="2"/>
        <v>5580786.3265749272</v>
      </c>
      <c r="F28" s="215">
        <f t="shared" si="10"/>
        <v>0.55807863265749269</v>
      </c>
      <c r="G28" s="6">
        <f t="shared" si="28"/>
        <v>460983.94575655239</v>
      </c>
      <c r="H28" s="8">
        <f t="shared" si="11"/>
        <v>342517.86198534688</v>
      </c>
      <c r="I28" s="3">
        <f t="shared" si="3"/>
        <v>118466.08377120551</v>
      </c>
      <c r="K28" s="16">
        <f t="shared" si="4"/>
        <v>970000</v>
      </c>
      <c r="L28" s="285">
        <v>-0.03</v>
      </c>
      <c r="M28" s="285">
        <v>0.05</v>
      </c>
      <c r="N28" s="31">
        <f t="shared" si="1"/>
        <v>160050</v>
      </c>
      <c r="O28" s="273">
        <f>ROUND(O27*(1+P28),3)</f>
        <v>0.16500000000000001</v>
      </c>
      <c r="P28" s="282">
        <v>0.1</v>
      </c>
      <c r="Q28" s="203">
        <f>ROUND(K28*(1-M28)-N28,)</f>
        <v>761450</v>
      </c>
      <c r="R28" s="1">
        <f t="shared" si="5"/>
        <v>460983.94575655239</v>
      </c>
      <c r="S28" s="107">
        <f t="shared" si="6"/>
        <v>0.47524118119232206</v>
      </c>
      <c r="T28" s="99">
        <f>Q28-R28</f>
        <v>300466.05424344761</v>
      </c>
      <c r="U28" s="41">
        <f t="shared" si="7"/>
        <v>25038.837853620633</v>
      </c>
      <c r="V28" s="102">
        <f t="shared" si="15"/>
        <v>3004660.5424344759</v>
      </c>
      <c r="W28" s="23">
        <v>11</v>
      </c>
      <c r="X28" s="56">
        <f t="shared" si="8"/>
        <v>118466.08377120551</v>
      </c>
      <c r="Y28" s="189">
        <f t="shared" si="29"/>
        <v>55749</v>
      </c>
      <c r="Z28" s="189">
        <f t="shared" si="16"/>
        <v>0</v>
      </c>
      <c r="AA28" s="189">
        <f t="shared" si="17"/>
        <v>264412.91622879449</v>
      </c>
      <c r="AB28" s="57">
        <f t="shared" si="18"/>
        <v>378571</v>
      </c>
      <c r="AC28" s="56">
        <f>Q28-X28-AB28+Z28</f>
        <v>264412.91622879449</v>
      </c>
      <c r="AD28" s="56"/>
      <c r="AE28" s="56"/>
      <c r="AF28" s="93">
        <f>AF18</f>
        <v>5000000</v>
      </c>
      <c r="AG28" s="59">
        <f t="shared" si="19"/>
        <v>5264412.9162287945</v>
      </c>
      <c r="AH28" s="164">
        <f t="shared" si="20"/>
        <v>0.3</v>
      </c>
      <c r="AI28" s="67">
        <f t="shared" si="35"/>
        <v>1579323.8748686383</v>
      </c>
      <c r="AJ28" s="167">
        <f t="shared" si="21"/>
        <v>427500</v>
      </c>
      <c r="AK28" s="57">
        <f t="shared" si="22"/>
        <v>1151823.8748686383</v>
      </c>
      <c r="AL28" s="57">
        <f t="shared" si="23"/>
        <v>4148642.1793748089</v>
      </c>
      <c r="AM28" s="173">
        <f t="shared" si="32"/>
        <v>0.3</v>
      </c>
      <c r="AN28" s="174">
        <f t="shared" si="33"/>
        <v>1500000</v>
      </c>
      <c r="AO28" s="171">
        <f t="shared" si="24"/>
        <v>427500</v>
      </c>
      <c r="AP28" s="171">
        <f t="shared" si="34"/>
        <v>1072500</v>
      </c>
      <c r="AQ28" s="174">
        <f t="shared" si="41"/>
        <v>3927500</v>
      </c>
      <c r="AR28" s="67">
        <f t="shared" si="26"/>
        <v>221142.17937480891</v>
      </c>
      <c r="AT28" s="269"/>
      <c r="AU28" s="269"/>
      <c r="AV28" s="270"/>
      <c r="AW28" s="272"/>
      <c r="AY28" s="141"/>
      <c r="AZ28" s="141"/>
      <c r="BA28" s="142"/>
      <c r="BB28" s="143">
        <f>SUM(BB26:BB27)</f>
        <v>0</v>
      </c>
      <c r="BC28" s="143">
        <f>SUM(BC26:BC27)</f>
        <v>0</v>
      </c>
      <c r="BD28" s="143">
        <f>SUM(BD26:BD27)</f>
        <v>0</v>
      </c>
      <c r="BE28" s="143">
        <f>SUM(BE26:BE27)</f>
        <v>101565.3492</v>
      </c>
      <c r="BF28" s="143">
        <f>SUM(BF26:BF27)</f>
        <v>251593.03649999999</v>
      </c>
      <c r="BG28" s="143">
        <f>SUM(BG27:BG27)</f>
        <v>205877.49189999999</v>
      </c>
      <c r="BH28" s="143">
        <f>SUM(BH27:BH27)</f>
        <v>282784.19055</v>
      </c>
      <c r="BI28" s="143">
        <f t="shared" ref="BI28:BM28" si="48">SUM(BI27:BI27)</f>
        <v>359690.88919999998</v>
      </c>
      <c r="BJ28" s="143">
        <f t="shared" si="48"/>
        <v>436597.58785000001</v>
      </c>
      <c r="BK28" s="143">
        <f t="shared" si="48"/>
        <v>513504.28649999999</v>
      </c>
      <c r="BL28" s="143">
        <f t="shared" si="48"/>
        <v>531294.33514999994</v>
      </c>
      <c r="BM28" s="143">
        <f t="shared" si="48"/>
        <v>608201.03379999998</v>
      </c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CA28" s="153" t="s">
        <v>99</v>
      </c>
      <c r="CB28" s="247" t="s">
        <v>100</v>
      </c>
    </row>
    <row r="29" spans="1:82" ht="17.100000000000001" customHeight="1" thickBot="1">
      <c r="C29" s="21">
        <v>12</v>
      </c>
      <c r="D29" s="264">
        <f t="shared" si="9"/>
        <v>0.02</v>
      </c>
      <c r="E29" s="1">
        <f t="shared" si="2"/>
        <v>5231418.1073498735</v>
      </c>
      <c r="F29" s="215">
        <f t="shared" si="10"/>
        <v>0.52314181073498733</v>
      </c>
      <c r="G29" s="6">
        <f t="shared" si="28"/>
        <v>460983.94575655239</v>
      </c>
      <c r="H29" s="8">
        <f t="shared" si="11"/>
        <v>349368.21922505385</v>
      </c>
      <c r="I29" s="3">
        <f t="shared" si="3"/>
        <v>111615.72653149857</v>
      </c>
      <c r="K29" s="16">
        <f t="shared" si="4"/>
        <v>970000</v>
      </c>
      <c r="L29" s="36">
        <v>0</v>
      </c>
      <c r="M29" s="285">
        <v>0.05</v>
      </c>
      <c r="N29" s="31">
        <f t="shared" si="1"/>
        <v>160050</v>
      </c>
      <c r="O29" s="265">
        <f>$O$28</f>
        <v>0.16500000000000001</v>
      </c>
      <c r="P29" s="235"/>
      <c r="Q29" s="203">
        <f t="shared" si="13"/>
        <v>761450</v>
      </c>
      <c r="R29" s="1">
        <f t="shared" si="5"/>
        <v>460983.94575655239</v>
      </c>
      <c r="S29" s="107">
        <f t="shared" si="6"/>
        <v>0.47524118119232206</v>
      </c>
      <c r="T29" s="99">
        <f t="shared" si="14"/>
        <v>300466.05424344761</v>
      </c>
      <c r="U29" s="41">
        <f t="shared" si="7"/>
        <v>25038.837853620633</v>
      </c>
      <c r="V29" s="102">
        <f t="shared" si="15"/>
        <v>3004660.5424344759</v>
      </c>
      <c r="W29" s="23">
        <v>12</v>
      </c>
      <c r="X29" s="56">
        <f t="shared" si="8"/>
        <v>111615.72653149857</v>
      </c>
      <c r="Y29" s="189">
        <f t="shared" si="29"/>
        <v>52525</v>
      </c>
      <c r="Z29" s="189">
        <f t="shared" si="16"/>
        <v>0</v>
      </c>
      <c r="AA29" s="189">
        <f t="shared" si="17"/>
        <v>271263.2734685014</v>
      </c>
      <c r="AB29" s="57">
        <f t="shared" si="18"/>
        <v>378571</v>
      </c>
      <c r="AC29" s="56">
        <f t="shared" si="30"/>
        <v>271263.2734685014</v>
      </c>
      <c r="AD29" s="56"/>
      <c r="AE29" s="56"/>
      <c r="AF29" s="93">
        <f t="shared" ref="AF29" si="49">$AF$18</f>
        <v>5000000</v>
      </c>
      <c r="AG29" s="56">
        <f t="shared" si="19"/>
        <v>5271263.2734685019</v>
      </c>
      <c r="AH29" s="164">
        <f t="shared" si="20"/>
        <v>0.3</v>
      </c>
      <c r="AI29" s="57">
        <f t="shared" si="35"/>
        <v>1581378.9820405506</v>
      </c>
      <c r="AJ29" s="167">
        <f t="shared" si="21"/>
        <v>427500</v>
      </c>
      <c r="AK29" s="57">
        <f t="shared" si="22"/>
        <v>1153878.9820405506</v>
      </c>
      <c r="AL29" s="57">
        <f t="shared" si="23"/>
        <v>4146587.0722028967</v>
      </c>
      <c r="AM29" s="173">
        <f t="shared" si="32"/>
        <v>0.3</v>
      </c>
      <c r="AN29" s="174">
        <f t="shared" si="33"/>
        <v>1500000</v>
      </c>
      <c r="AO29" s="171">
        <f t="shared" si="24"/>
        <v>427500</v>
      </c>
      <c r="AP29" s="171">
        <f t="shared" si="34"/>
        <v>1072500</v>
      </c>
      <c r="AQ29" s="174">
        <f t="shared" si="41"/>
        <v>3927500</v>
      </c>
      <c r="AR29" s="57">
        <f t="shared" si="26"/>
        <v>219087.0722028967</v>
      </c>
      <c r="AT29" s="269"/>
      <c r="AU29" s="269"/>
      <c r="AV29" s="270"/>
      <c r="AW29" s="272"/>
      <c r="AY29" s="275" t="s">
        <v>76</v>
      </c>
      <c r="AZ29" s="144"/>
      <c r="BA29" s="145" t="s">
        <v>75</v>
      </c>
      <c r="BB29" s="146">
        <f>BB16-BB17-BB24-BB28</f>
        <v>22983.945756552741</v>
      </c>
      <c r="BC29" s="146">
        <f>BC16-BC17-BC24-BC28</f>
        <v>309587.57042823546</v>
      </c>
      <c r="BD29" s="146">
        <f t="shared" ref="BD29:BG29" si="50">BD16-BD17-BD24-BD28</f>
        <v>601923.26759335306</v>
      </c>
      <c r="BE29" s="146">
        <f t="shared" si="50"/>
        <v>798540.3295017723</v>
      </c>
      <c r="BF29" s="146">
        <f t="shared" si="50"/>
        <v>952658.70153236063</v>
      </c>
      <c r="BG29" s="146">
        <f t="shared" si="50"/>
        <v>1308603.2266495607</v>
      </c>
      <c r="BH29" s="146">
        <f>BH16-BH17-BH24-BH28</f>
        <v>1548130.0881271041</v>
      </c>
      <c r="BI29" s="146">
        <f t="shared" ref="BI29" si="51">BI16-BI17-BI24-BI28</f>
        <v>1793985.6208071988</v>
      </c>
      <c r="BJ29" s="146">
        <f>BJ16-BJ17-BJ24-BJ28</f>
        <v>2046296.398113895</v>
      </c>
      <c r="BK29" s="146">
        <f t="shared" ref="BK29:BM29" si="52">BK16-BK17-BK24-BK28</f>
        <v>2305191.5249397256</v>
      </c>
      <c r="BL29" s="146">
        <f t="shared" si="52"/>
        <v>2338919.3382750731</v>
      </c>
      <c r="BM29" s="146">
        <f t="shared" si="52"/>
        <v>2611380.8588501266</v>
      </c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CA29" s="153" t="s">
        <v>101</v>
      </c>
      <c r="CB29" s="247" t="s">
        <v>102</v>
      </c>
    </row>
    <row r="30" spans="1:82" ht="17.100000000000001" customHeight="1" thickBot="1">
      <c r="C30" s="21">
        <v>13</v>
      </c>
      <c r="D30" s="264">
        <f t="shared" si="9"/>
        <v>0.02</v>
      </c>
      <c r="E30" s="1">
        <f t="shared" si="2"/>
        <v>4875062.5237403186</v>
      </c>
      <c r="F30" s="215">
        <f t="shared" si="10"/>
        <v>0.48750625237403183</v>
      </c>
      <c r="G30" s="6">
        <f t="shared" si="28"/>
        <v>460983.94575655239</v>
      </c>
      <c r="H30" s="8">
        <f t="shared" si="11"/>
        <v>356355.58360955492</v>
      </c>
      <c r="I30" s="3">
        <f t="shared" si="3"/>
        <v>104628.36214699749</v>
      </c>
      <c r="K30" s="16">
        <f t="shared" si="4"/>
        <v>970000</v>
      </c>
      <c r="L30" s="36">
        <v>0</v>
      </c>
      <c r="M30" s="285">
        <v>0.05</v>
      </c>
      <c r="N30" s="31">
        <f t="shared" si="1"/>
        <v>160050</v>
      </c>
      <c r="O30" s="265">
        <f t="shared" ref="O30:O37" si="53">$O$28</f>
        <v>0.16500000000000001</v>
      </c>
      <c r="P30" s="235"/>
      <c r="Q30" s="203">
        <f t="shared" si="13"/>
        <v>761450</v>
      </c>
      <c r="R30" s="1">
        <f t="shared" si="5"/>
        <v>460983.94575655239</v>
      </c>
      <c r="S30" s="107">
        <f t="shared" si="6"/>
        <v>0.47524118119232206</v>
      </c>
      <c r="T30" s="99">
        <f t="shared" si="14"/>
        <v>300466.05424344761</v>
      </c>
      <c r="U30" s="41">
        <f t="shared" si="7"/>
        <v>25038.837853620633</v>
      </c>
      <c r="V30" s="102">
        <f t="shared" si="15"/>
        <v>3004660.5424344759</v>
      </c>
      <c r="W30" s="23">
        <v>13</v>
      </c>
      <c r="X30" s="56">
        <f t="shared" si="8"/>
        <v>104628.36214699749</v>
      </c>
      <c r="Y30" s="189">
        <f t="shared" si="29"/>
        <v>49237</v>
      </c>
      <c r="Z30" s="189">
        <f t="shared" si="16"/>
        <v>0</v>
      </c>
      <c r="AA30" s="189">
        <f t="shared" si="17"/>
        <v>278250.63785300252</v>
      </c>
      <c r="AB30" s="57">
        <f t="shared" si="18"/>
        <v>378571</v>
      </c>
      <c r="AC30" s="56">
        <f t="shared" si="30"/>
        <v>278250.63785300252</v>
      </c>
      <c r="AD30" s="56"/>
      <c r="AE30" s="56"/>
      <c r="AF30" s="93">
        <f t="shared" si="31"/>
        <v>5000000</v>
      </c>
      <c r="AG30" s="56">
        <f t="shared" si="19"/>
        <v>5278250.6378530022</v>
      </c>
      <c r="AH30" s="164">
        <f t="shared" si="20"/>
        <v>0.3</v>
      </c>
      <c r="AI30" s="57">
        <f t="shared" si="35"/>
        <v>1583475.1913559006</v>
      </c>
      <c r="AJ30" s="167">
        <f t="shared" si="21"/>
        <v>427500</v>
      </c>
      <c r="AK30" s="57">
        <f t="shared" si="22"/>
        <v>1155975.1913559006</v>
      </c>
      <c r="AL30" s="57">
        <f t="shared" si="23"/>
        <v>4144490.8628875464</v>
      </c>
      <c r="AM30" s="173">
        <f t="shared" si="32"/>
        <v>0.3</v>
      </c>
      <c r="AN30" s="174">
        <f t="shared" si="33"/>
        <v>1500000</v>
      </c>
      <c r="AO30" s="171">
        <f t="shared" si="24"/>
        <v>427500</v>
      </c>
      <c r="AP30" s="171">
        <f t="shared" si="34"/>
        <v>1072500</v>
      </c>
      <c r="AQ30" s="174">
        <f t="shared" si="41"/>
        <v>3927500</v>
      </c>
      <c r="AR30" s="57">
        <f t="shared" si="26"/>
        <v>216990.86288754642</v>
      </c>
      <c r="AT30" s="269"/>
      <c r="AU30" s="269"/>
      <c r="AV30" s="270"/>
      <c r="AW30" s="272"/>
      <c r="AY30" s="277"/>
      <c r="AZ30" s="278"/>
      <c r="BA30" s="278"/>
      <c r="BB30" s="278"/>
      <c r="BC30" s="278"/>
      <c r="BD30" s="278"/>
      <c r="BE30" s="278"/>
      <c r="BF30" s="278"/>
      <c r="CA30" s="248" t="s">
        <v>103</v>
      </c>
      <c r="CB30" s="154" t="s">
        <v>104</v>
      </c>
    </row>
    <row r="31" spans="1:82" ht="17.100000000000001" customHeight="1" thickBot="1">
      <c r="C31" s="21">
        <v>14</v>
      </c>
      <c r="D31" s="264">
        <f t="shared" si="9"/>
        <v>0.02</v>
      </c>
      <c r="E31" s="1">
        <f t="shared" si="2"/>
        <v>4511579.8284585727</v>
      </c>
      <c r="F31" s="215">
        <f t="shared" si="10"/>
        <v>0.45115798284585729</v>
      </c>
      <c r="G31" s="6">
        <f t="shared" si="28"/>
        <v>460983.94575655228</v>
      </c>
      <c r="H31" s="8">
        <f t="shared" si="11"/>
        <v>363482.69528174592</v>
      </c>
      <c r="I31" s="3">
        <f t="shared" si="3"/>
        <v>97501.250474806409</v>
      </c>
      <c r="K31" s="16">
        <f t="shared" si="4"/>
        <v>970000</v>
      </c>
      <c r="L31" s="36">
        <v>0</v>
      </c>
      <c r="M31" s="285">
        <v>0.05</v>
      </c>
      <c r="N31" s="31">
        <f t="shared" si="1"/>
        <v>160050</v>
      </c>
      <c r="O31" s="265">
        <f t="shared" si="53"/>
        <v>0.16500000000000001</v>
      </c>
      <c r="P31" s="235"/>
      <c r="Q31" s="203">
        <f t="shared" si="13"/>
        <v>761450</v>
      </c>
      <c r="R31" s="1">
        <f t="shared" si="5"/>
        <v>460983.94575655228</v>
      </c>
      <c r="S31" s="107">
        <f t="shared" si="6"/>
        <v>0.47524118119232195</v>
      </c>
      <c r="T31" s="99">
        <f t="shared" si="14"/>
        <v>300466.05424344772</v>
      </c>
      <c r="U31" s="41">
        <f t="shared" si="7"/>
        <v>25038.837853620644</v>
      </c>
      <c r="V31" s="102">
        <f t="shared" si="15"/>
        <v>3004660.5424344772</v>
      </c>
      <c r="W31" s="23">
        <v>14</v>
      </c>
      <c r="X31" s="56">
        <f t="shared" si="8"/>
        <v>97501.250474806409</v>
      </c>
      <c r="Y31" s="189">
        <f t="shared" si="29"/>
        <v>45883</v>
      </c>
      <c r="Z31" s="189">
        <f t="shared" si="16"/>
        <v>0</v>
      </c>
      <c r="AA31" s="189">
        <f t="shared" si="17"/>
        <v>285377.74952519359</v>
      </c>
      <c r="AB31" s="57">
        <f t="shared" si="18"/>
        <v>378571</v>
      </c>
      <c r="AC31" s="56">
        <f t="shared" si="30"/>
        <v>285377.74952519359</v>
      </c>
      <c r="AD31" s="56"/>
      <c r="AE31" s="56"/>
      <c r="AF31" s="93">
        <f t="shared" si="31"/>
        <v>5000000</v>
      </c>
      <c r="AG31" s="56">
        <f t="shared" si="19"/>
        <v>5285377.7495251931</v>
      </c>
      <c r="AH31" s="164">
        <f t="shared" si="20"/>
        <v>0.3</v>
      </c>
      <c r="AI31" s="57">
        <f t="shared" si="35"/>
        <v>1585613.3248575579</v>
      </c>
      <c r="AJ31" s="167">
        <f t="shared" si="21"/>
        <v>427500</v>
      </c>
      <c r="AK31" s="57">
        <f t="shared" si="22"/>
        <v>1158113.3248575579</v>
      </c>
      <c r="AL31" s="57">
        <f t="shared" si="23"/>
        <v>4142352.7293858891</v>
      </c>
      <c r="AM31" s="173">
        <f t="shared" si="32"/>
        <v>0.3</v>
      </c>
      <c r="AN31" s="174">
        <f t="shared" si="33"/>
        <v>1500000</v>
      </c>
      <c r="AO31" s="171">
        <f t="shared" si="24"/>
        <v>427500</v>
      </c>
      <c r="AP31" s="171">
        <f t="shared" si="34"/>
        <v>1072500</v>
      </c>
      <c r="AQ31" s="174">
        <f t="shared" si="41"/>
        <v>3927500</v>
      </c>
      <c r="AR31" s="57">
        <f t="shared" si="26"/>
        <v>214852.72938588914</v>
      </c>
      <c r="AT31" s="269"/>
      <c r="AU31" s="269"/>
      <c r="AV31" s="270"/>
      <c r="AW31" s="272"/>
      <c r="AZ31" s="279" t="s">
        <v>111</v>
      </c>
      <c r="BA31" s="280"/>
      <c r="BB31" s="147">
        <f>AR18</f>
        <v>266587.35424344707</v>
      </c>
      <c r="BC31" s="147">
        <f>BB31+AR19</f>
        <v>531488.80481235497</v>
      </c>
      <c r="BD31" s="147">
        <f>BC31+AR20</f>
        <v>794670.63363323268</v>
      </c>
      <c r="BE31" s="147">
        <f>BD31+AR21</f>
        <v>1056098.44827112</v>
      </c>
      <c r="BF31" s="147">
        <f>BE31+AR22</f>
        <v>1315737.1684423564</v>
      </c>
      <c r="BG31" s="147">
        <f>BF31+AR23</f>
        <v>1573551.0122576095</v>
      </c>
      <c r="BH31" s="147">
        <f>BG31+AR24</f>
        <v>1829503.4821897596</v>
      </c>
      <c r="BI31" s="147">
        <f>BH31+AR25</f>
        <v>2083557.3507611444</v>
      </c>
      <c r="BJ31" s="147">
        <f>BI31+AR26</f>
        <v>2335674.6459445488</v>
      </c>
      <c r="BK31" s="147">
        <f>BJ31+AR27</f>
        <v>2585816.6362722125</v>
      </c>
      <c r="BL31" s="147">
        <f>BK31+AR28</f>
        <v>2806958.8156470214</v>
      </c>
      <c r="BM31" s="147">
        <f>BL31+AR29</f>
        <v>3026045.8878499181</v>
      </c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CA31" s="290" t="s">
        <v>105</v>
      </c>
      <c r="CB31" s="292" t="s">
        <v>83</v>
      </c>
    </row>
    <row r="32" spans="1:82" ht="17.100000000000001" customHeight="1" thickBot="1">
      <c r="C32" s="21">
        <v>15</v>
      </c>
      <c r="D32" s="264">
        <f t="shared" si="9"/>
        <v>0.02</v>
      </c>
      <c r="E32" s="1">
        <f t="shared" si="2"/>
        <v>4140827.4792711916</v>
      </c>
      <c r="F32" s="215">
        <f t="shared" si="10"/>
        <v>0.41408274792711919</v>
      </c>
      <c r="G32" s="6">
        <f t="shared" si="28"/>
        <v>460983.94575655245</v>
      </c>
      <c r="H32" s="8">
        <f t="shared" si="11"/>
        <v>370752.34918738104</v>
      </c>
      <c r="I32" s="3">
        <f t="shared" si="3"/>
        <v>90231.596569171452</v>
      </c>
      <c r="K32" s="17">
        <f t="shared" si="4"/>
        <v>970000</v>
      </c>
      <c r="L32" s="38">
        <v>0</v>
      </c>
      <c r="M32" s="286">
        <v>0.05</v>
      </c>
      <c r="N32" s="33">
        <f t="shared" si="1"/>
        <v>160050</v>
      </c>
      <c r="O32" s="201">
        <f t="shared" si="53"/>
        <v>0.16500000000000001</v>
      </c>
      <c r="P32" s="233"/>
      <c r="Q32" s="204">
        <f t="shared" si="13"/>
        <v>761450</v>
      </c>
      <c r="R32" s="17">
        <f t="shared" si="5"/>
        <v>460983.94575655245</v>
      </c>
      <c r="S32" s="107">
        <f t="shared" si="6"/>
        <v>0.47524118119232212</v>
      </c>
      <c r="T32" s="101">
        <f t="shared" si="14"/>
        <v>300466.05424344755</v>
      </c>
      <c r="U32" s="43">
        <f t="shared" si="7"/>
        <v>25038.837853620629</v>
      </c>
      <c r="V32" s="102">
        <f t="shared" si="15"/>
        <v>3004660.5424344754</v>
      </c>
      <c r="W32" s="24">
        <v>15</v>
      </c>
      <c r="X32" s="56">
        <f t="shared" si="8"/>
        <v>90231.596569171452</v>
      </c>
      <c r="Y32" s="189">
        <f t="shared" si="29"/>
        <v>42462</v>
      </c>
      <c r="Z32" s="189">
        <f t="shared" si="16"/>
        <v>0</v>
      </c>
      <c r="AA32" s="189">
        <f t="shared" si="17"/>
        <v>671218.40343082859</v>
      </c>
      <c r="AB32" s="68">
        <f t="shared" si="18"/>
        <v>0</v>
      </c>
      <c r="AC32" s="61">
        <f t="shared" si="30"/>
        <v>671218.40343082859</v>
      </c>
      <c r="AD32" s="56"/>
      <c r="AE32" s="56"/>
      <c r="AF32" s="93">
        <f t="shared" si="31"/>
        <v>5000000</v>
      </c>
      <c r="AG32" s="61">
        <f t="shared" si="19"/>
        <v>5671218.4034308288</v>
      </c>
      <c r="AH32" s="164">
        <f t="shared" si="20"/>
        <v>0.3</v>
      </c>
      <c r="AI32" s="68">
        <f t="shared" si="35"/>
        <v>1701365.5210292486</v>
      </c>
      <c r="AJ32" s="167">
        <f t="shared" si="21"/>
        <v>427500</v>
      </c>
      <c r="AK32" s="68">
        <f t="shared" si="22"/>
        <v>1273865.5210292486</v>
      </c>
      <c r="AL32" s="68">
        <f t="shared" si="23"/>
        <v>4026600.5332141984</v>
      </c>
      <c r="AM32" s="175">
        <f t="shared" si="32"/>
        <v>0.3</v>
      </c>
      <c r="AN32" s="176">
        <f t="shared" si="33"/>
        <v>1500000</v>
      </c>
      <c r="AO32" s="177">
        <f t="shared" si="24"/>
        <v>427500</v>
      </c>
      <c r="AP32" s="177">
        <f t="shared" si="34"/>
        <v>1072500</v>
      </c>
      <c r="AQ32" s="174">
        <f t="shared" si="41"/>
        <v>3927500</v>
      </c>
      <c r="AR32" s="68">
        <f t="shared" si="26"/>
        <v>99100.533214198425</v>
      </c>
      <c r="AY32" s="277"/>
      <c r="AZ32" s="148" t="s">
        <v>73</v>
      </c>
      <c r="BA32" s="148"/>
      <c r="BB32" s="148">
        <f>SUM(BB29:BB31)</f>
        <v>289571.29999999981</v>
      </c>
      <c r="BC32" s="148">
        <f t="shared" ref="BC32:BM32" si="54">SUM(BC29:BC31)</f>
        <v>841076.37524059042</v>
      </c>
      <c r="BD32" s="148">
        <f t="shared" si="54"/>
        <v>1396593.9012265857</v>
      </c>
      <c r="BE32" s="148">
        <f t="shared" si="54"/>
        <v>1854638.7777728923</v>
      </c>
      <c r="BF32" s="148">
        <f t="shared" si="54"/>
        <v>2268395.869974717</v>
      </c>
      <c r="BG32" s="148">
        <f t="shared" si="54"/>
        <v>2882154.2389071705</v>
      </c>
      <c r="BH32" s="148">
        <f t="shared" si="54"/>
        <v>3377633.5703168637</v>
      </c>
      <c r="BI32" s="148">
        <f t="shared" si="54"/>
        <v>3877542.9715683432</v>
      </c>
      <c r="BJ32" s="148">
        <f t="shared" si="54"/>
        <v>4381971.044058444</v>
      </c>
      <c r="BK32" s="148">
        <f t="shared" si="54"/>
        <v>4891008.1612119377</v>
      </c>
      <c r="BL32" s="148">
        <f t="shared" si="54"/>
        <v>5145878.153922094</v>
      </c>
      <c r="BM32" s="148">
        <f t="shared" si="54"/>
        <v>5637426.7467000447</v>
      </c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CA32" s="291"/>
      <c r="CB32" s="293"/>
    </row>
    <row r="33" spans="3:77" ht="17.100000000000001" customHeight="1" thickTop="1">
      <c r="C33" s="25">
        <v>16</v>
      </c>
      <c r="D33" s="266">
        <f>D32</f>
        <v>0.02</v>
      </c>
      <c r="E33" s="15">
        <f t="shared" si="2"/>
        <v>3762660.0831000628</v>
      </c>
      <c r="F33" s="216">
        <f t="shared" si="10"/>
        <v>0.37626600831000628</v>
      </c>
      <c r="G33" s="26">
        <f t="shared" si="28"/>
        <v>460983.94575655239</v>
      </c>
      <c r="H33" s="27">
        <f t="shared" si="11"/>
        <v>378167.39617112861</v>
      </c>
      <c r="I33" s="28">
        <f t="shared" si="3"/>
        <v>82816.54958542384</v>
      </c>
      <c r="K33" s="16">
        <f t="shared" si="4"/>
        <v>970000</v>
      </c>
      <c r="L33" s="36">
        <v>0</v>
      </c>
      <c r="M33" s="285">
        <v>0.05</v>
      </c>
      <c r="N33" s="31">
        <f t="shared" si="1"/>
        <v>160050</v>
      </c>
      <c r="O33" s="265">
        <f t="shared" si="53"/>
        <v>0.16500000000000001</v>
      </c>
      <c r="P33" s="235"/>
      <c r="Q33" s="203">
        <f t="shared" si="13"/>
        <v>761450</v>
      </c>
      <c r="R33" s="1">
        <f t="shared" si="5"/>
        <v>460983.94575655239</v>
      </c>
      <c r="S33" s="108">
        <f t="shared" si="6"/>
        <v>0.47524118119232206</v>
      </c>
      <c r="T33" s="99">
        <f>Q33-R33</f>
        <v>300466.05424344761</v>
      </c>
      <c r="U33" s="41">
        <f t="shared" si="7"/>
        <v>25038.837853620633</v>
      </c>
      <c r="V33" s="103">
        <f t="shared" si="15"/>
        <v>3004660.5424344759</v>
      </c>
      <c r="W33" s="23">
        <v>16</v>
      </c>
      <c r="X33" s="59">
        <f t="shared" si="8"/>
        <v>82816.54958542384</v>
      </c>
      <c r="Y33" s="190">
        <f t="shared" si="29"/>
        <v>38972</v>
      </c>
      <c r="Z33" s="190">
        <f t="shared" si="16"/>
        <v>0</v>
      </c>
      <c r="AA33" s="190">
        <f t="shared" si="17"/>
        <v>678633.4504145761</v>
      </c>
      <c r="AB33" s="57">
        <f t="shared" si="18"/>
        <v>0</v>
      </c>
      <c r="AC33" s="56">
        <f t="shared" si="30"/>
        <v>678633.4504145761</v>
      </c>
      <c r="AD33" s="59"/>
      <c r="AE33" s="59"/>
      <c r="AF33" s="113">
        <f>AF18</f>
        <v>5000000</v>
      </c>
      <c r="AG33" s="59">
        <f t="shared" si="19"/>
        <v>5678633.4504145756</v>
      </c>
      <c r="AH33" s="165">
        <f t="shared" si="20"/>
        <v>0.3</v>
      </c>
      <c r="AI33" s="57">
        <f t="shared" si="35"/>
        <v>1703590.0351243727</v>
      </c>
      <c r="AJ33" s="168">
        <f t="shared" si="21"/>
        <v>427500</v>
      </c>
      <c r="AK33" s="57">
        <f t="shared" si="22"/>
        <v>1276090.0351243727</v>
      </c>
      <c r="AL33" s="57">
        <f t="shared" si="23"/>
        <v>4024376.0191190746</v>
      </c>
      <c r="AM33" s="173">
        <f t="shared" si="32"/>
        <v>0.3</v>
      </c>
      <c r="AN33" s="174">
        <f t="shared" si="33"/>
        <v>1500000</v>
      </c>
      <c r="AO33" s="171">
        <f t="shared" si="24"/>
        <v>427500</v>
      </c>
      <c r="AP33" s="171">
        <f t="shared" si="34"/>
        <v>1072500</v>
      </c>
      <c r="AQ33" s="178">
        <f t="shared" si="41"/>
        <v>3927500</v>
      </c>
      <c r="AR33" s="116">
        <f t="shared" si="26"/>
        <v>96876.019119074568</v>
      </c>
      <c r="AY33" s="277"/>
      <c r="AZ33" s="179" t="s">
        <v>147</v>
      </c>
      <c r="BA33" s="179"/>
      <c r="BB33" s="245">
        <f>BB32-$E$10</f>
        <v>-1410428.7000000002</v>
      </c>
      <c r="BC33" s="245">
        <f t="shared" ref="BC33:BM33" si="55">BC32-$E$10</f>
        <v>-858923.62475940958</v>
      </c>
      <c r="BD33" s="245">
        <f t="shared" si="55"/>
        <v>-303406.09877341427</v>
      </c>
      <c r="BE33" s="245">
        <f t="shared" si="55"/>
        <v>154638.77777289227</v>
      </c>
      <c r="BF33" s="245">
        <f t="shared" si="55"/>
        <v>568395.86997471703</v>
      </c>
      <c r="BG33" s="245">
        <f t="shared" si="55"/>
        <v>1182154.2389071705</v>
      </c>
      <c r="BH33" s="245">
        <f t="shared" si="55"/>
        <v>1677633.5703168637</v>
      </c>
      <c r="BI33" s="245">
        <f t="shared" si="55"/>
        <v>2177542.9715683432</v>
      </c>
      <c r="BJ33" s="245">
        <f t="shared" si="55"/>
        <v>2681971.044058444</v>
      </c>
      <c r="BK33" s="245">
        <f t="shared" si="55"/>
        <v>3191008.1612119377</v>
      </c>
      <c r="BL33" s="245">
        <f t="shared" si="55"/>
        <v>3445878.153922094</v>
      </c>
      <c r="BM33" s="245">
        <f t="shared" si="55"/>
        <v>3937426.7467000447</v>
      </c>
    </row>
    <row r="34" spans="3:77" ht="17.100000000000001" customHeight="1">
      <c r="C34" s="21">
        <v>17</v>
      </c>
      <c r="D34" s="264">
        <f t="shared" si="9"/>
        <v>0.02</v>
      </c>
      <c r="E34" s="1">
        <f t="shared" si="2"/>
        <v>3376929.3390055117</v>
      </c>
      <c r="F34" s="215">
        <f t="shared" si="10"/>
        <v>0.33769293390055116</v>
      </c>
      <c r="G34" s="6">
        <f t="shared" si="28"/>
        <v>460983.94575655239</v>
      </c>
      <c r="H34" s="8">
        <f t="shared" si="11"/>
        <v>385730.74409455113</v>
      </c>
      <c r="I34" s="3">
        <f t="shared" si="3"/>
        <v>75253.201662001273</v>
      </c>
      <c r="K34" s="16">
        <f t="shared" si="4"/>
        <v>970000</v>
      </c>
      <c r="L34" s="36">
        <v>0</v>
      </c>
      <c r="M34" s="285">
        <v>0.05</v>
      </c>
      <c r="N34" s="31">
        <f t="shared" si="1"/>
        <v>160050</v>
      </c>
      <c r="O34" s="265">
        <f t="shared" si="53"/>
        <v>0.16500000000000001</v>
      </c>
      <c r="P34" s="235"/>
      <c r="Q34" s="203">
        <f t="shared" si="13"/>
        <v>761450</v>
      </c>
      <c r="R34" s="1">
        <f t="shared" si="5"/>
        <v>460983.94575655239</v>
      </c>
      <c r="S34" s="107">
        <f t="shared" si="6"/>
        <v>0.47524118119232206</v>
      </c>
      <c r="T34" s="99">
        <f t="shared" si="14"/>
        <v>300466.05424344761</v>
      </c>
      <c r="U34" s="41">
        <f t="shared" si="7"/>
        <v>25038.837853620633</v>
      </c>
      <c r="V34" s="104">
        <f t="shared" si="15"/>
        <v>3004660.5424344759</v>
      </c>
      <c r="W34" s="23">
        <v>17</v>
      </c>
      <c r="X34" s="56">
        <f t="shared" si="8"/>
        <v>75253.201662001273</v>
      </c>
      <c r="Y34" s="189">
        <f t="shared" si="29"/>
        <v>35413</v>
      </c>
      <c r="Z34" s="189">
        <f t="shared" si="16"/>
        <v>0</v>
      </c>
      <c r="AA34" s="189">
        <f t="shared" si="17"/>
        <v>686196.79833799868</v>
      </c>
      <c r="AB34" s="57">
        <f t="shared" si="18"/>
        <v>0</v>
      </c>
      <c r="AC34" s="56">
        <f t="shared" si="30"/>
        <v>686196.79833799868</v>
      </c>
      <c r="AD34" s="56"/>
      <c r="AE34" s="56"/>
      <c r="AF34" s="93">
        <f t="shared" ref="AF34" si="56">$AF$18</f>
        <v>5000000</v>
      </c>
      <c r="AG34" s="56">
        <f t="shared" si="19"/>
        <v>5686196.7983379988</v>
      </c>
      <c r="AH34" s="164">
        <f t="shared" si="20"/>
        <v>0.3</v>
      </c>
      <c r="AI34" s="57">
        <f t="shared" si="35"/>
        <v>1705859.0395013995</v>
      </c>
      <c r="AJ34" s="167">
        <f t="shared" si="21"/>
        <v>427500</v>
      </c>
      <c r="AK34" s="57">
        <f t="shared" si="22"/>
        <v>1278359.0395013995</v>
      </c>
      <c r="AL34" s="57">
        <f t="shared" si="23"/>
        <v>4022107.0147420475</v>
      </c>
      <c r="AM34" s="173">
        <f t="shared" si="32"/>
        <v>0.3</v>
      </c>
      <c r="AN34" s="174">
        <f t="shared" si="33"/>
        <v>1500000</v>
      </c>
      <c r="AO34" s="171">
        <f t="shared" si="24"/>
        <v>427500</v>
      </c>
      <c r="AP34" s="171">
        <f t="shared" si="34"/>
        <v>1072500</v>
      </c>
      <c r="AQ34" s="174">
        <f t="shared" si="41"/>
        <v>3927500</v>
      </c>
      <c r="AR34" s="57">
        <f t="shared" si="26"/>
        <v>94607.014742047526</v>
      </c>
      <c r="AY34" s="277"/>
      <c r="AZ34" s="278"/>
      <c r="BA34" s="278"/>
      <c r="BB34" s="278"/>
      <c r="BC34" s="278"/>
      <c r="BD34" s="278"/>
      <c r="BE34" s="278"/>
      <c r="BF34" s="278"/>
    </row>
    <row r="35" spans="3:77" ht="17.100000000000001" customHeight="1">
      <c r="C35" s="21">
        <v>18</v>
      </c>
      <c r="D35" s="264">
        <f t="shared" si="9"/>
        <v>0.02</v>
      </c>
      <c r="E35" s="1">
        <f t="shared" si="2"/>
        <v>2983483.9800290698</v>
      </c>
      <c r="F35" s="215">
        <f t="shared" si="10"/>
        <v>0.29834839800290697</v>
      </c>
      <c r="G35" s="6">
        <f t="shared" si="28"/>
        <v>460983.94575655239</v>
      </c>
      <c r="H35" s="8">
        <f t="shared" si="11"/>
        <v>393445.35897644213</v>
      </c>
      <c r="I35" s="3">
        <f t="shared" si="3"/>
        <v>67538.586780110243</v>
      </c>
      <c r="K35" s="16">
        <f t="shared" si="4"/>
        <v>970000</v>
      </c>
      <c r="L35" s="36">
        <v>0</v>
      </c>
      <c r="M35" s="285">
        <v>0.05</v>
      </c>
      <c r="N35" s="31">
        <f t="shared" si="1"/>
        <v>160050</v>
      </c>
      <c r="O35" s="265">
        <f t="shared" si="53"/>
        <v>0.16500000000000001</v>
      </c>
      <c r="P35" s="235"/>
      <c r="Q35" s="203">
        <f t="shared" si="13"/>
        <v>761450</v>
      </c>
      <c r="R35" s="1">
        <f t="shared" si="5"/>
        <v>460983.94575655239</v>
      </c>
      <c r="S35" s="107">
        <f t="shared" si="6"/>
        <v>0.47524118119232206</v>
      </c>
      <c r="T35" s="99">
        <f t="shared" si="14"/>
        <v>300466.05424344761</v>
      </c>
      <c r="U35" s="41">
        <f t="shared" si="7"/>
        <v>25038.837853620633</v>
      </c>
      <c r="V35" s="104">
        <f t="shared" si="15"/>
        <v>3004660.5424344759</v>
      </c>
      <c r="W35" s="23">
        <v>18</v>
      </c>
      <c r="X35" s="56">
        <f t="shared" si="8"/>
        <v>67538.586780110243</v>
      </c>
      <c r="Y35" s="189">
        <f t="shared" si="29"/>
        <v>31783</v>
      </c>
      <c r="Z35" s="189">
        <f t="shared" si="16"/>
        <v>0</v>
      </c>
      <c r="AA35" s="189">
        <f t="shared" si="17"/>
        <v>693911.41321988974</v>
      </c>
      <c r="AB35" s="57">
        <f t="shared" si="18"/>
        <v>0</v>
      </c>
      <c r="AC35" s="56">
        <f t="shared" si="30"/>
        <v>693911.41321988974</v>
      </c>
      <c r="AD35" s="56"/>
      <c r="AE35" s="56"/>
      <c r="AF35" s="93">
        <f t="shared" si="31"/>
        <v>5000000</v>
      </c>
      <c r="AG35" s="56">
        <f t="shared" si="19"/>
        <v>5693911.4132198896</v>
      </c>
      <c r="AH35" s="164">
        <f t="shared" si="20"/>
        <v>0.3</v>
      </c>
      <c r="AI35" s="57">
        <f t="shared" si="35"/>
        <v>1708173.4239659668</v>
      </c>
      <c r="AJ35" s="167">
        <f t="shared" si="21"/>
        <v>427500</v>
      </c>
      <c r="AK35" s="57">
        <f t="shared" si="22"/>
        <v>1280673.4239659668</v>
      </c>
      <c r="AL35" s="57">
        <f t="shared" si="23"/>
        <v>4019792.6302774805</v>
      </c>
      <c r="AM35" s="173">
        <f t="shared" si="32"/>
        <v>0.3</v>
      </c>
      <c r="AN35" s="174">
        <f t="shared" si="33"/>
        <v>1500000</v>
      </c>
      <c r="AO35" s="171">
        <f t="shared" si="24"/>
        <v>427500</v>
      </c>
      <c r="AP35" s="171">
        <f t="shared" si="34"/>
        <v>1072500</v>
      </c>
      <c r="AQ35" s="174">
        <f t="shared" si="41"/>
        <v>3927500</v>
      </c>
      <c r="AR35" s="57">
        <f t="shared" si="26"/>
        <v>92292.630277480464</v>
      </c>
      <c r="AY35" s="277"/>
      <c r="AZ35" s="278"/>
      <c r="BA35" s="278"/>
      <c r="BB35" s="47">
        <v>13</v>
      </c>
      <c r="BC35" s="47">
        <v>14</v>
      </c>
      <c r="BD35" s="47">
        <v>15</v>
      </c>
      <c r="BE35" s="47">
        <v>16</v>
      </c>
      <c r="BF35" s="47">
        <v>17</v>
      </c>
      <c r="BG35" s="47">
        <v>18</v>
      </c>
      <c r="BH35" s="47">
        <v>19</v>
      </c>
      <c r="BI35" s="47">
        <v>20</v>
      </c>
      <c r="BJ35" s="47">
        <v>21</v>
      </c>
      <c r="BK35" s="47">
        <v>22</v>
      </c>
      <c r="BL35" s="47">
        <v>23</v>
      </c>
      <c r="BM35" s="47">
        <v>24</v>
      </c>
      <c r="BN35" s="47">
        <v>25</v>
      </c>
      <c r="BO35" s="47">
        <v>26</v>
      </c>
      <c r="BP35" s="47">
        <v>27</v>
      </c>
      <c r="BQ35" s="47">
        <v>28</v>
      </c>
      <c r="BR35" s="47">
        <v>29</v>
      </c>
      <c r="BS35" s="47">
        <v>30</v>
      </c>
      <c r="BT35" s="47">
        <v>31</v>
      </c>
      <c r="BU35" s="47">
        <v>32</v>
      </c>
      <c r="BV35" s="47">
        <v>33</v>
      </c>
      <c r="BW35" s="47">
        <v>34</v>
      </c>
      <c r="BX35" s="47">
        <v>35</v>
      </c>
      <c r="BY35" s="47"/>
    </row>
    <row r="36" spans="3:77" ht="17.100000000000001" customHeight="1">
      <c r="C36" s="21">
        <v>19</v>
      </c>
      <c r="D36" s="264">
        <f t="shared" si="9"/>
        <v>0.02</v>
      </c>
      <c r="E36" s="1">
        <f t="shared" si="2"/>
        <v>2582169.7138730991</v>
      </c>
      <c r="F36" s="215">
        <f t="shared" si="10"/>
        <v>0.25821697138730992</v>
      </c>
      <c r="G36" s="6">
        <f t="shared" si="28"/>
        <v>460983.94575655228</v>
      </c>
      <c r="H36" s="8">
        <f t="shared" si="11"/>
        <v>401314.26615597092</v>
      </c>
      <c r="I36" s="3">
        <f t="shared" si="3"/>
        <v>59669.679600581418</v>
      </c>
      <c r="K36" s="16">
        <f t="shared" si="4"/>
        <v>970000</v>
      </c>
      <c r="L36" s="36">
        <v>0</v>
      </c>
      <c r="M36" s="285">
        <v>0.05</v>
      </c>
      <c r="N36" s="31">
        <f t="shared" si="1"/>
        <v>160050</v>
      </c>
      <c r="O36" s="265">
        <f t="shared" si="53"/>
        <v>0.16500000000000001</v>
      </c>
      <c r="P36" s="235"/>
      <c r="Q36" s="203">
        <f t="shared" si="13"/>
        <v>761450</v>
      </c>
      <c r="R36" s="1">
        <f t="shared" si="5"/>
        <v>460983.94575655228</v>
      </c>
      <c r="S36" s="107">
        <f t="shared" si="6"/>
        <v>0.47524118119232195</v>
      </c>
      <c r="T36" s="99">
        <f t="shared" si="14"/>
        <v>300466.05424344772</v>
      </c>
      <c r="U36" s="41">
        <f t="shared" si="7"/>
        <v>25038.837853620644</v>
      </c>
      <c r="V36" s="104">
        <f t="shared" si="15"/>
        <v>3004660.5424344772</v>
      </c>
      <c r="W36" s="23">
        <v>19</v>
      </c>
      <c r="X36" s="56">
        <f t="shared" si="8"/>
        <v>59669.679600581418</v>
      </c>
      <c r="Y36" s="189">
        <f t="shared" si="29"/>
        <v>28080</v>
      </c>
      <c r="Z36" s="189">
        <f t="shared" si="16"/>
        <v>0</v>
      </c>
      <c r="AA36" s="189">
        <f t="shared" si="17"/>
        <v>701780.32039941859</v>
      </c>
      <c r="AB36" s="57">
        <f t="shared" si="18"/>
        <v>0</v>
      </c>
      <c r="AC36" s="56">
        <f t="shared" si="30"/>
        <v>701780.32039941859</v>
      </c>
      <c r="AD36" s="56"/>
      <c r="AE36" s="56"/>
      <c r="AF36" s="93">
        <f t="shared" si="31"/>
        <v>5000000</v>
      </c>
      <c r="AG36" s="56">
        <f t="shared" si="19"/>
        <v>5701780.3203994185</v>
      </c>
      <c r="AH36" s="164">
        <f t="shared" si="20"/>
        <v>0.3</v>
      </c>
      <c r="AI36" s="57">
        <f t="shared" si="35"/>
        <v>1710534.0961198255</v>
      </c>
      <c r="AJ36" s="167">
        <f t="shared" si="21"/>
        <v>427500</v>
      </c>
      <c r="AK36" s="57">
        <f t="shared" si="22"/>
        <v>1283034.0961198255</v>
      </c>
      <c r="AL36" s="57">
        <f t="shared" si="23"/>
        <v>4017431.9581236215</v>
      </c>
      <c r="AM36" s="173">
        <f t="shared" si="32"/>
        <v>0.3</v>
      </c>
      <c r="AN36" s="174">
        <f t="shared" si="33"/>
        <v>1500000</v>
      </c>
      <c r="AO36" s="171">
        <f t="shared" si="24"/>
        <v>427500</v>
      </c>
      <c r="AP36" s="171">
        <f t="shared" si="34"/>
        <v>1072500</v>
      </c>
      <c r="AQ36" s="174">
        <f t="shared" si="41"/>
        <v>3927500</v>
      </c>
      <c r="AR36" s="57">
        <f t="shared" si="26"/>
        <v>89931.958123621531</v>
      </c>
      <c r="AY36" s="119"/>
      <c r="AZ36" s="119"/>
      <c r="BA36" s="120"/>
      <c r="BB36" s="121">
        <f>EDATE(BM15,12)</f>
        <v>49279</v>
      </c>
      <c r="BC36" s="121">
        <f t="shared" ref="BC36:BX36" si="57">EDATE(BB36,12)</f>
        <v>49644</v>
      </c>
      <c r="BD36" s="121">
        <f t="shared" si="57"/>
        <v>50010</v>
      </c>
      <c r="BE36" s="121">
        <f t="shared" si="57"/>
        <v>50375</v>
      </c>
      <c r="BF36" s="121">
        <f t="shared" si="57"/>
        <v>50740</v>
      </c>
      <c r="BG36" s="121">
        <f t="shared" si="57"/>
        <v>51105</v>
      </c>
      <c r="BH36" s="121">
        <f t="shared" si="57"/>
        <v>51471</v>
      </c>
      <c r="BI36" s="121">
        <f t="shared" si="57"/>
        <v>51836</v>
      </c>
      <c r="BJ36" s="121">
        <f t="shared" si="57"/>
        <v>52201</v>
      </c>
      <c r="BK36" s="121">
        <f t="shared" si="57"/>
        <v>52566</v>
      </c>
      <c r="BL36" s="121">
        <f t="shared" si="57"/>
        <v>52932</v>
      </c>
      <c r="BM36" s="121">
        <f t="shared" si="57"/>
        <v>53297</v>
      </c>
      <c r="BN36" s="121">
        <f t="shared" si="57"/>
        <v>53662</v>
      </c>
      <c r="BO36" s="121">
        <f t="shared" si="57"/>
        <v>54027</v>
      </c>
      <c r="BP36" s="121">
        <f t="shared" si="57"/>
        <v>54393</v>
      </c>
      <c r="BQ36" s="121">
        <f t="shared" si="57"/>
        <v>54758</v>
      </c>
      <c r="BR36" s="121">
        <f t="shared" si="57"/>
        <v>55123</v>
      </c>
      <c r="BS36" s="121">
        <f t="shared" si="57"/>
        <v>55488</v>
      </c>
      <c r="BT36" s="121">
        <f t="shared" si="57"/>
        <v>55854</v>
      </c>
      <c r="BU36" s="121">
        <f t="shared" si="57"/>
        <v>56219</v>
      </c>
      <c r="BV36" s="121">
        <f t="shared" si="57"/>
        <v>56584</v>
      </c>
      <c r="BW36" s="121">
        <f t="shared" si="57"/>
        <v>56949</v>
      </c>
      <c r="BX36" s="121">
        <f t="shared" si="57"/>
        <v>57315</v>
      </c>
      <c r="BY36" s="260"/>
    </row>
    <row r="37" spans="3:77" ht="17.100000000000001" customHeight="1">
      <c r="C37" s="22">
        <v>20</v>
      </c>
      <c r="D37" s="271">
        <f t="shared" si="9"/>
        <v>0.02</v>
      </c>
      <c r="E37" s="4">
        <f t="shared" si="2"/>
        <v>2172829.1623940086</v>
      </c>
      <c r="F37" s="217">
        <f t="shared" si="10"/>
        <v>0.21728291623940085</v>
      </c>
      <c r="G37" s="7">
        <f t="shared" si="28"/>
        <v>460983.94575655239</v>
      </c>
      <c r="H37" s="9">
        <f t="shared" si="11"/>
        <v>409340.55147909041</v>
      </c>
      <c r="I37" s="5">
        <f t="shared" si="3"/>
        <v>51643.394277461994</v>
      </c>
      <c r="K37" s="17">
        <f t="shared" si="4"/>
        <v>970000</v>
      </c>
      <c r="L37" s="38">
        <v>0</v>
      </c>
      <c r="M37" s="286">
        <v>0.05</v>
      </c>
      <c r="N37" s="33">
        <f t="shared" si="1"/>
        <v>160050</v>
      </c>
      <c r="O37" s="265">
        <f t="shared" si="53"/>
        <v>0.16500000000000001</v>
      </c>
      <c r="P37" s="235"/>
      <c r="Q37" s="204">
        <f t="shared" si="13"/>
        <v>761450</v>
      </c>
      <c r="R37" s="4">
        <f t="shared" si="5"/>
        <v>460983.94575655239</v>
      </c>
      <c r="S37" s="109">
        <f t="shared" si="6"/>
        <v>0.47524118119232206</v>
      </c>
      <c r="T37" s="99">
        <f t="shared" si="14"/>
        <v>300466.05424344761</v>
      </c>
      <c r="U37" s="41">
        <f t="shared" si="7"/>
        <v>25038.837853620633</v>
      </c>
      <c r="V37" s="105">
        <f t="shared" si="15"/>
        <v>3004660.5424344759</v>
      </c>
      <c r="W37" s="23">
        <v>20</v>
      </c>
      <c r="X37" s="61">
        <f t="shared" si="8"/>
        <v>51643.394277461994</v>
      </c>
      <c r="Y37" s="191">
        <f t="shared" si="29"/>
        <v>24303</v>
      </c>
      <c r="Z37" s="191">
        <f t="shared" si="16"/>
        <v>0</v>
      </c>
      <c r="AA37" s="191">
        <f t="shared" si="17"/>
        <v>709806.60572253796</v>
      </c>
      <c r="AB37" s="57">
        <f t="shared" si="18"/>
        <v>0</v>
      </c>
      <c r="AC37" s="61">
        <f t="shared" si="30"/>
        <v>709806.60572253796</v>
      </c>
      <c r="AD37" s="61"/>
      <c r="AE37" s="61"/>
      <c r="AF37" s="114">
        <f t="shared" si="31"/>
        <v>5000000</v>
      </c>
      <c r="AG37" s="61">
        <f t="shared" si="19"/>
        <v>5709806.6057225382</v>
      </c>
      <c r="AH37" s="166">
        <f t="shared" si="20"/>
        <v>0.3</v>
      </c>
      <c r="AI37" s="57">
        <f t="shared" si="35"/>
        <v>1712941.9817167614</v>
      </c>
      <c r="AJ37" s="169">
        <f t="shared" si="21"/>
        <v>427500</v>
      </c>
      <c r="AK37" s="68">
        <f t="shared" si="22"/>
        <v>1285441.9817167614</v>
      </c>
      <c r="AL37" s="68">
        <f t="shared" si="23"/>
        <v>4015024.0725266859</v>
      </c>
      <c r="AM37" s="175">
        <f t="shared" si="32"/>
        <v>0.3</v>
      </c>
      <c r="AN37" s="176">
        <f t="shared" si="33"/>
        <v>1500000</v>
      </c>
      <c r="AO37" s="177">
        <f t="shared" si="24"/>
        <v>427500</v>
      </c>
      <c r="AP37" s="177">
        <f t="shared" si="34"/>
        <v>1072500</v>
      </c>
      <c r="AQ37" s="176">
        <f t="shared" si="41"/>
        <v>3927500</v>
      </c>
      <c r="AR37" s="57">
        <f t="shared" si="26"/>
        <v>87524.072526685894</v>
      </c>
      <c r="AY37" s="122" t="s">
        <v>56</v>
      </c>
      <c r="AZ37" s="122" t="s">
        <v>57</v>
      </c>
      <c r="BA37" s="123"/>
      <c r="BB37" s="56">
        <f>+ROUND(K30/$Q$13,-5)</f>
        <v>8800000</v>
      </c>
      <c r="BC37" s="56">
        <f>+ROUND(K31/$Q$13,-5)</f>
        <v>8800000</v>
      </c>
      <c r="BD37" s="56">
        <f>+ROUND(K32/$Q$13,-5)</f>
        <v>8800000</v>
      </c>
      <c r="BE37" s="56">
        <f>+ROUND(K33/$Q$13,-5)</f>
        <v>8800000</v>
      </c>
      <c r="BF37" s="56">
        <f>+ROUND(K34/$Q$13,-5)</f>
        <v>8800000</v>
      </c>
      <c r="BG37" s="56">
        <f>+ROUND(K35/$Q$13,-5)</f>
        <v>8800000</v>
      </c>
      <c r="BH37" s="56">
        <f>+ROUND(K36/$Q$13,-5)</f>
        <v>8800000</v>
      </c>
      <c r="BI37" s="56">
        <f>+ROUND(K37/$Q$13,-5)</f>
        <v>8800000</v>
      </c>
      <c r="BJ37" s="56">
        <f>+ROUND(K38/$Q$13,-5)</f>
        <v>8600000</v>
      </c>
      <c r="BK37" s="56">
        <f>+ROUND(K39/$Q$13,-5)</f>
        <v>8600000</v>
      </c>
      <c r="BL37" s="56">
        <f>+ROUND(K40/$Q$13,-5)</f>
        <v>8600000</v>
      </c>
      <c r="BM37" s="56">
        <f>+ROUND(K41/$Q$13,-5)</f>
        <v>8600000</v>
      </c>
      <c r="BN37" s="56">
        <f>+ROUND(K42/$Q$13,-5)</f>
        <v>8600000</v>
      </c>
      <c r="BO37" s="56">
        <f>+ROUND(K43/$Q$13,-5)</f>
        <v>8600000</v>
      </c>
      <c r="BP37" s="56">
        <f>+ROUND(K44/$Q$13,-5)</f>
        <v>8600000</v>
      </c>
      <c r="BQ37" s="56">
        <f>+ROUND(K45/$Q$13,-5)</f>
        <v>8600000</v>
      </c>
      <c r="BR37" s="56">
        <f>+ROUND(K46/$Q$13,-5)</f>
        <v>8600000</v>
      </c>
      <c r="BS37" s="56">
        <f>+ROUND(K47/$Q$13,-5)</f>
        <v>8600000</v>
      </c>
      <c r="BT37" s="56">
        <f>+ROUND(K48/$Q$13,-5)</f>
        <v>8600000</v>
      </c>
      <c r="BU37" s="56">
        <f>+ROUND(K49/$Q$13,-5)</f>
        <v>8600000</v>
      </c>
      <c r="BV37" s="56">
        <f>+ROUND(K50/$Q$13,-5)</f>
        <v>8600000</v>
      </c>
      <c r="BW37" s="56">
        <f>+ROUND(K51/$Q$13,-5)</f>
        <v>8600000</v>
      </c>
      <c r="BX37" s="56">
        <f>+ROUND(K52/$Q$13,-5)</f>
        <v>8600000</v>
      </c>
      <c r="BY37" s="261"/>
    </row>
    <row r="38" spans="3:77" ht="17.100000000000001" customHeight="1">
      <c r="C38" s="21">
        <v>21</v>
      </c>
      <c r="D38" s="264">
        <f t="shared" si="9"/>
        <v>0.02</v>
      </c>
      <c r="E38" s="1">
        <f t="shared" si="2"/>
        <v>1755301.7998853363</v>
      </c>
      <c r="F38" s="215">
        <f t="shared" si="10"/>
        <v>0.17553017998853362</v>
      </c>
      <c r="G38" s="6">
        <f t="shared" si="28"/>
        <v>460983.94575655245</v>
      </c>
      <c r="H38" s="8">
        <f t="shared" si="11"/>
        <v>417527.36250867229</v>
      </c>
      <c r="I38" s="3">
        <f t="shared" si="3"/>
        <v>43456.583247880175</v>
      </c>
      <c r="K38" s="16">
        <f t="shared" si="4"/>
        <v>940900</v>
      </c>
      <c r="L38" s="285">
        <v>-0.03</v>
      </c>
      <c r="M38" s="285">
        <v>0.05</v>
      </c>
      <c r="N38" s="31">
        <f t="shared" si="1"/>
        <v>171243.8</v>
      </c>
      <c r="O38" s="207">
        <f>ROUND(O37*(1+P38),3)</f>
        <v>0.182</v>
      </c>
      <c r="P38" s="283">
        <v>0.1</v>
      </c>
      <c r="Q38" s="203">
        <f t="shared" si="13"/>
        <v>722611</v>
      </c>
      <c r="R38" s="1">
        <f t="shared" si="5"/>
        <v>460983.94575655245</v>
      </c>
      <c r="S38" s="107">
        <f>R38/K38</f>
        <v>0.48993936205394034</v>
      </c>
      <c r="T38" s="100">
        <f t="shared" si="14"/>
        <v>261627.05424344755</v>
      </c>
      <c r="U38" s="42">
        <f t="shared" si="7"/>
        <v>21802.254520287297</v>
      </c>
      <c r="V38" s="102">
        <f t="shared" si="15"/>
        <v>2616270.5424344754</v>
      </c>
      <c r="W38" s="29">
        <v>21</v>
      </c>
      <c r="X38" s="59">
        <f t="shared" si="8"/>
        <v>43456.583247880175</v>
      </c>
      <c r="Y38" s="190">
        <f t="shared" si="29"/>
        <v>20450</v>
      </c>
      <c r="Z38" s="190">
        <f t="shared" si="16"/>
        <v>0</v>
      </c>
      <c r="AA38" s="190">
        <f t="shared" si="17"/>
        <v>679154.41675211978</v>
      </c>
      <c r="AB38" s="67">
        <f t="shared" si="18"/>
        <v>0</v>
      </c>
      <c r="AC38" s="56">
        <f t="shared" si="30"/>
        <v>679154.41675211978</v>
      </c>
      <c r="AD38" s="58"/>
      <c r="AE38" s="58"/>
      <c r="AF38" s="93">
        <f>AF18</f>
        <v>5000000</v>
      </c>
      <c r="AG38" s="59">
        <f>AC38+AF38</f>
        <v>5679154.4167521195</v>
      </c>
      <c r="AH38" s="164">
        <f t="shared" si="20"/>
        <v>0.3</v>
      </c>
      <c r="AI38" s="67">
        <f t="shared" si="35"/>
        <v>1703746.3250256358</v>
      </c>
      <c r="AJ38" s="167">
        <f t="shared" si="21"/>
        <v>427500</v>
      </c>
      <c r="AK38" s="57">
        <f t="shared" si="22"/>
        <v>1276246.3250256358</v>
      </c>
      <c r="AL38" s="57">
        <f t="shared" si="23"/>
        <v>3985380.7292178115</v>
      </c>
      <c r="AM38" s="173">
        <f t="shared" si="32"/>
        <v>0.3</v>
      </c>
      <c r="AN38" s="174">
        <f t="shared" si="33"/>
        <v>1500000</v>
      </c>
      <c r="AO38" s="171">
        <f t="shared" si="24"/>
        <v>427500</v>
      </c>
      <c r="AP38" s="171">
        <f t="shared" si="34"/>
        <v>1072500</v>
      </c>
      <c r="AQ38" s="174">
        <f t="shared" si="41"/>
        <v>3927500</v>
      </c>
      <c r="AR38" s="67">
        <f t="shared" si="26"/>
        <v>57880.729217811488</v>
      </c>
      <c r="AY38" s="124" t="s">
        <v>58</v>
      </c>
      <c r="AZ38" s="124" t="s">
        <v>59</v>
      </c>
      <c r="BA38" s="125"/>
      <c r="BB38" s="126">
        <f>E30</f>
        <v>4875062.5237403186</v>
      </c>
      <c r="BC38" s="126">
        <f>E31</f>
        <v>4511579.8284585727</v>
      </c>
      <c r="BD38" s="126">
        <f>E32</f>
        <v>4140827.4792711916</v>
      </c>
      <c r="BE38" s="126">
        <f>E33</f>
        <v>3762660.0831000628</v>
      </c>
      <c r="BF38" s="126">
        <f>E34</f>
        <v>3376929.3390055117</v>
      </c>
      <c r="BG38" s="126">
        <f>E35</f>
        <v>2983483.9800290698</v>
      </c>
      <c r="BH38" s="126">
        <f>E36</f>
        <v>2582169.7138730991</v>
      </c>
      <c r="BI38" s="126">
        <f>E37</f>
        <v>2172829.1623940086</v>
      </c>
      <c r="BJ38" s="126">
        <f>E38</f>
        <v>1755301.7998853363</v>
      </c>
      <c r="BK38" s="126">
        <f>E39</f>
        <v>1329423.8901264907</v>
      </c>
      <c r="BL38" s="126">
        <f>E40</f>
        <v>895028.42217246816</v>
      </c>
      <c r="BM38" s="126">
        <f>E41</f>
        <v>451945.04485936515</v>
      </c>
      <c r="BN38" s="126">
        <f>E42</f>
        <v>0</v>
      </c>
      <c r="BO38" s="126">
        <f>E43</f>
        <v>0</v>
      </c>
      <c r="BP38" s="126">
        <f>E44</f>
        <v>0</v>
      </c>
      <c r="BQ38" s="126">
        <f>E45</f>
        <v>0</v>
      </c>
      <c r="BR38" s="126">
        <f>E46</f>
        <v>0</v>
      </c>
      <c r="BS38" s="126">
        <f>E47</f>
        <v>0</v>
      </c>
      <c r="BT38" s="126">
        <f>E48</f>
        <v>0</v>
      </c>
      <c r="BU38" s="126">
        <f>E49</f>
        <v>0</v>
      </c>
      <c r="BV38" s="126">
        <f>E50</f>
        <v>0</v>
      </c>
      <c r="BW38" s="126">
        <f>E51</f>
        <v>0</v>
      </c>
      <c r="BX38" s="126">
        <f>E52</f>
        <v>0</v>
      </c>
      <c r="BY38" s="218"/>
    </row>
    <row r="39" spans="3:77" ht="17.100000000000001" customHeight="1">
      <c r="C39" s="21">
        <v>22</v>
      </c>
      <c r="D39" s="264">
        <f t="shared" si="9"/>
        <v>0.02</v>
      </c>
      <c r="E39" s="1">
        <f t="shared" si="2"/>
        <v>1329423.8901264907</v>
      </c>
      <c r="F39" s="215">
        <f t="shared" si="10"/>
        <v>0.13294238901264907</v>
      </c>
      <c r="G39" s="6">
        <f t="shared" si="28"/>
        <v>460983.94575655239</v>
      </c>
      <c r="H39" s="8">
        <f t="shared" si="11"/>
        <v>425877.90975884564</v>
      </c>
      <c r="I39" s="3">
        <f t="shared" si="3"/>
        <v>35106.035997706735</v>
      </c>
      <c r="K39" s="16">
        <f t="shared" si="4"/>
        <v>940900</v>
      </c>
      <c r="L39" s="36">
        <v>0</v>
      </c>
      <c r="M39" s="285">
        <v>0.05</v>
      </c>
      <c r="N39" s="31">
        <f t="shared" si="1"/>
        <v>171243.8</v>
      </c>
      <c r="O39" s="234">
        <f>$O$38</f>
        <v>0.182</v>
      </c>
      <c r="P39" s="235"/>
      <c r="Q39" s="203">
        <f t="shared" si="13"/>
        <v>722611</v>
      </c>
      <c r="R39" s="1">
        <f t="shared" si="5"/>
        <v>460983.94575655239</v>
      </c>
      <c r="S39" s="107">
        <f t="shared" si="6"/>
        <v>0.48993936205394029</v>
      </c>
      <c r="T39" s="99">
        <f t="shared" si="14"/>
        <v>261627.05424344761</v>
      </c>
      <c r="U39" s="41">
        <f t="shared" si="7"/>
        <v>21802.254520287301</v>
      </c>
      <c r="V39" s="102">
        <f t="shared" si="15"/>
        <v>2616270.5424344759</v>
      </c>
      <c r="W39" s="23">
        <v>22</v>
      </c>
      <c r="X39" s="56">
        <f t="shared" si="8"/>
        <v>35106.035997706735</v>
      </c>
      <c r="Y39" s="189">
        <f t="shared" si="29"/>
        <v>16520</v>
      </c>
      <c r="Z39" s="189">
        <f t="shared" si="16"/>
        <v>0</v>
      </c>
      <c r="AA39" s="189">
        <f t="shared" si="17"/>
        <v>687504.9640022933</v>
      </c>
      <c r="AB39" s="57">
        <f t="shared" si="18"/>
        <v>0</v>
      </c>
      <c r="AC39" s="56">
        <f t="shared" si="30"/>
        <v>687504.9640022933</v>
      </c>
      <c r="AD39" s="58"/>
      <c r="AE39" s="58"/>
      <c r="AF39" s="93">
        <f t="shared" ref="AF39" si="58">$AF$18</f>
        <v>5000000</v>
      </c>
      <c r="AG39" s="56">
        <f t="shared" si="19"/>
        <v>5687504.9640022935</v>
      </c>
      <c r="AH39" s="164">
        <f t="shared" si="20"/>
        <v>0.3</v>
      </c>
      <c r="AI39" s="57">
        <f t="shared" si="35"/>
        <v>1706251.489200688</v>
      </c>
      <c r="AJ39" s="167">
        <f t="shared" si="21"/>
        <v>427500</v>
      </c>
      <c r="AK39" s="57">
        <f t="shared" si="22"/>
        <v>1278751.489200688</v>
      </c>
      <c r="AL39" s="57">
        <f t="shared" si="23"/>
        <v>3982875.5650427593</v>
      </c>
      <c r="AM39" s="173">
        <f t="shared" si="32"/>
        <v>0.3</v>
      </c>
      <c r="AN39" s="174">
        <f t="shared" si="33"/>
        <v>1500000</v>
      </c>
      <c r="AO39" s="171">
        <f t="shared" si="24"/>
        <v>427500</v>
      </c>
      <c r="AP39" s="171">
        <f t="shared" si="34"/>
        <v>1072500</v>
      </c>
      <c r="AQ39" s="174">
        <f t="shared" si="41"/>
        <v>3927500</v>
      </c>
      <c r="AR39" s="57">
        <f t="shared" si="26"/>
        <v>55375.565042759292</v>
      </c>
      <c r="AY39" s="124" t="s">
        <v>60</v>
      </c>
      <c r="AZ39" s="124" t="s">
        <v>61</v>
      </c>
      <c r="BA39" s="125"/>
      <c r="BB39" s="127">
        <f>BM18-AB30</f>
        <v>5078577</v>
      </c>
      <c r="BC39" s="127">
        <f>BB39-AB31</f>
        <v>4700006</v>
      </c>
      <c r="BD39" s="127">
        <f>BC39-AB32</f>
        <v>4700006</v>
      </c>
      <c r="BE39" s="127">
        <f>BD39-AB33</f>
        <v>4700006</v>
      </c>
      <c r="BF39" s="127">
        <f>BE39-AB34</f>
        <v>4700006</v>
      </c>
      <c r="BG39" s="127">
        <f>BF39-AB35</f>
        <v>4700006</v>
      </c>
      <c r="BH39" s="127">
        <f>BG39-AB36</f>
        <v>4700006</v>
      </c>
      <c r="BI39" s="127">
        <f>BH39-AB37</f>
        <v>4700006</v>
      </c>
      <c r="BJ39" s="127">
        <f>BI39-AB38</f>
        <v>4700006</v>
      </c>
      <c r="BK39" s="127">
        <f>BJ39-AB39</f>
        <v>4700006</v>
      </c>
      <c r="BL39" s="127">
        <f>BK39-AB40</f>
        <v>4700006</v>
      </c>
      <c r="BM39" s="127">
        <f>BL39-AB41</f>
        <v>4700006</v>
      </c>
      <c r="BN39" s="127">
        <f>BM39-AB42</f>
        <v>4700006</v>
      </c>
      <c r="BO39" s="127">
        <f>BN39-AB43</f>
        <v>4700006</v>
      </c>
      <c r="BP39" s="127">
        <f>BO39-AB44</f>
        <v>4700006</v>
      </c>
      <c r="BQ39" s="127">
        <f>BP39-AB45</f>
        <v>4700006</v>
      </c>
      <c r="BR39" s="127">
        <f>BQ39-AB46</f>
        <v>4700006</v>
      </c>
      <c r="BS39" s="127">
        <f>BR39-AB47</f>
        <v>4700006</v>
      </c>
      <c r="BT39" s="127">
        <f>BS39-AB48</f>
        <v>4700006</v>
      </c>
      <c r="BU39" s="127">
        <f>BT39-AB49</f>
        <v>4700006</v>
      </c>
      <c r="BV39" s="127">
        <f>BU39-AB50</f>
        <v>4700006</v>
      </c>
      <c r="BW39" s="127">
        <f>BV39-AB51</f>
        <v>4700006</v>
      </c>
      <c r="BX39" s="127">
        <f>BW39-AB52</f>
        <v>4700006</v>
      </c>
      <c r="BY39" s="218"/>
    </row>
    <row r="40" spans="3:77" ht="17.100000000000001" customHeight="1">
      <c r="C40" s="21">
        <v>23</v>
      </c>
      <c r="D40" s="264">
        <f t="shared" si="9"/>
        <v>0.02</v>
      </c>
      <c r="E40" s="1">
        <f t="shared" si="2"/>
        <v>895028.42217246816</v>
      </c>
      <c r="F40" s="215">
        <f t="shared" si="10"/>
        <v>8.9502842217246817E-2</v>
      </c>
      <c r="G40" s="6">
        <f t="shared" si="28"/>
        <v>460983.94575655239</v>
      </c>
      <c r="H40" s="8">
        <f t="shared" si="11"/>
        <v>434395.46795402258</v>
      </c>
      <c r="I40" s="3">
        <f t="shared" si="3"/>
        <v>26588.477802529818</v>
      </c>
      <c r="K40" s="16">
        <f t="shared" si="4"/>
        <v>940900</v>
      </c>
      <c r="L40" s="36">
        <v>0</v>
      </c>
      <c r="M40" s="285">
        <v>0.05</v>
      </c>
      <c r="N40" s="31">
        <f t="shared" si="1"/>
        <v>171243.8</v>
      </c>
      <c r="O40" s="234">
        <f t="shared" ref="O40:O47" si="59">$O$38</f>
        <v>0.182</v>
      </c>
      <c r="P40" s="235"/>
      <c r="Q40" s="203">
        <f t="shared" si="13"/>
        <v>722611</v>
      </c>
      <c r="R40" s="1">
        <f t="shared" si="5"/>
        <v>460983.94575655239</v>
      </c>
      <c r="S40" s="107">
        <f t="shared" si="6"/>
        <v>0.48993936205394029</v>
      </c>
      <c r="T40" s="99">
        <f>Q40-R40</f>
        <v>261627.05424344761</v>
      </c>
      <c r="U40" s="41">
        <f t="shared" si="7"/>
        <v>21802.254520287301</v>
      </c>
      <c r="V40" s="102">
        <f t="shared" si="15"/>
        <v>2616270.5424344759</v>
      </c>
      <c r="W40" s="23">
        <v>23</v>
      </c>
      <c r="X40" s="56">
        <f t="shared" si="8"/>
        <v>26588.477802529818</v>
      </c>
      <c r="Y40" s="189">
        <f t="shared" si="29"/>
        <v>12512</v>
      </c>
      <c r="Z40" s="189">
        <f t="shared" si="16"/>
        <v>0</v>
      </c>
      <c r="AA40" s="189">
        <f t="shared" si="17"/>
        <v>696022.52219747019</v>
      </c>
      <c r="AB40" s="57">
        <f t="shared" si="18"/>
        <v>0</v>
      </c>
      <c r="AC40" s="56">
        <f t="shared" si="30"/>
        <v>696022.52219747019</v>
      </c>
      <c r="AD40" s="58"/>
      <c r="AE40" s="58"/>
      <c r="AF40" s="93">
        <f t="shared" si="31"/>
        <v>5000000</v>
      </c>
      <c r="AG40" s="56">
        <f t="shared" si="19"/>
        <v>5696022.5221974701</v>
      </c>
      <c r="AH40" s="164">
        <f t="shared" si="20"/>
        <v>0.3</v>
      </c>
      <c r="AI40" s="57">
        <f t="shared" si="35"/>
        <v>1708806.7566592409</v>
      </c>
      <c r="AJ40" s="167">
        <f t="shared" si="21"/>
        <v>427500</v>
      </c>
      <c r="AK40" s="57">
        <f t="shared" si="22"/>
        <v>1281306.7566592409</v>
      </c>
      <c r="AL40" s="57">
        <f t="shared" si="23"/>
        <v>3980320.2975842063</v>
      </c>
      <c r="AM40" s="173">
        <f t="shared" si="32"/>
        <v>0.3</v>
      </c>
      <c r="AN40" s="174">
        <f t="shared" si="33"/>
        <v>1500000</v>
      </c>
      <c r="AO40" s="171">
        <f t="shared" si="24"/>
        <v>427500</v>
      </c>
      <c r="AP40" s="171">
        <f t="shared" si="34"/>
        <v>1072500</v>
      </c>
      <c r="AQ40" s="174">
        <f t="shared" si="41"/>
        <v>3927500</v>
      </c>
      <c r="AR40" s="57">
        <f t="shared" si="26"/>
        <v>52820.297584206332</v>
      </c>
      <c r="AY40" s="128"/>
      <c r="AZ40" s="128" t="s">
        <v>62</v>
      </c>
      <c r="BA40" s="129" t="s">
        <v>63</v>
      </c>
      <c r="BB40" s="126">
        <f t="shared" ref="BB40:BL40" si="60">BB37*0.03+60000</f>
        <v>324000</v>
      </c>
      <c r="BC40" s="126">
        <f t="shared" si="60"/>
        <v>324000</v>
      </c>
      <c r="BD40" s="126">
        <f t="shared" si="60"/>
        <v>324000</v>
      </c>
      <c r="BE40" s="126">
        <f t="shared" si="60"/>
        <v>324000</v>
      </c>
      <c r="BF40" s="126">
        <f t="shared" si="60"/>
        <v>324000</v>
      </c>
      <c r="BG40" s="126">
        <f t="shared" si="60"/>
        <v>324000</v>
      </c>
      <c r="BH40" s="126">
        <f t="shared" si="60"/>
        <v>324000</v>
      </c>
      <c r="BI40" s="126">
        <f t="shared" si="60"/>
        <v>324000</v>
      </c>
      <c r="BJ40" s="126">
        <f t="shared" si="60"/>
        <v>318000</v>
      </c>
      <c r="BK40" s="126">
        <f t="shared" si="60"/>
        <v>318000</v>
      </c>
      <c r="BL40" s="126">
        <f t="shared" si="60"/>
        <v>318000</v>
      </c>
      <c r="BM40" s="126">
        <f>BM37*0.03+60000</f>
        <v>318000</v>
      </c>
      <c r="BN40" s="126">
        <f t="shared" ref="BN40:BX40" si="61">BN37*0.03+60000</f>
        <v>318000</v>
      </c>
      <c r="BO40" s="126">
        <f t="shared" si="61"/>
        <v>318000</v>
      </c>
      <c r="BP40" s="126">
        <f t="shared" si="61"/>
        <v>318000</v>
      </c>
      <c r="BQ40" s="126">
        <f t="shared" si="61"/>
        <v>318000</v>
      </c>
      <c r="BR40" s="126">
        <f t="shared" si="61"/>
        <v>318000</v>
      </c>
      <c r="BS40" s="126">
        <f t="shared" si="61"/>
        <v>318000</v>
      </c>
      <c r="BT40" s="126">
        <f t="shared" si="61"/>
        <v>318000</v>
      </c>
      <c r="BU40" s="126">
        <f t="shared" si="61"/>
        <v>318000</v>
      </c>
      <c r="BV40" s="126">
        <f t="shared" si="61"/>
        <v>318000</v>
      </c>
      <c r="BW40" s="126">
        <f t="shared" si="61"/>
        <v>318000</v>
      </c>
      <c r="BX40" s="126">
        <f t="shared" si="61"/>
        <v>318000</v>
      </c>
      <c r="BY40" s="218"/>
    </row>
    <row r="41" spans="3:77" ht="17.100000000000001" customHeight="1">
      <c r="C41" s="21">
        <v>24</v>
      </c>
      <c r="D41" s="264">
        <f t="shared" si="9"/>
        <v>0.02</v>
      </c>
      <c r="E41" s="1">
        <f t="shared" si="2"/>
        <v>451945.04485936515</v>
      </c>
      <c r="F41" s="215">
        <f t="shared" si="10"/>
        <v>4.5194504485936517E-2</v>
      </c>
      <c r="G41" s="6">
        <f t="shared" si="28"/>
        <v>460983.94575655239</v>
      </c>
      <c r="H41" s="8">
        <f t="shared" si="11"/>
        <v>443083.377313103</v>
      </c>
      <c r="I41" s="3">
        <f t="shared" si="3"/>
        <v>17900.568443449367</v>
      </c>
      <c r="K41" s="16">
        <f t="shared" si="4"/>
        <v>940900</v>
      </c>
      <c r="L41" s="36">
        <v>0</v>
      </c>
      <c r="M41" s="285">
        <v>0.05</v>
      </c>
      <c r="N41" s="31">
        <f t="shared" si="1"/>
        <v>171243.8</v>
      </c>
      <c r="O41" s="234">
        <f t="shared" si="59"/>
        <v>0.182</v>
      </c>
      <c r="P41" s="235"/>
      <c r="Q41" s="203">
        <f t="shared" si="13"/>
        <v>722611</v>
      </c>
      <c r="R41" s="1">
        <f t="shared" si="5"/>
        <v>460983.94575655239</v>
      </c>
      <c r="S41" s="107">
        <f t="shared" si="6"/>
        <v>0.48993936205394029</v>
      </c>
      <c r="T41" s="99">
        <f t="shared" si="14"/>
        <v>261627.05424344761</v>
      </c>
      <c r="U41" s="41">
        <f t="shared" si="7"/>
        <v>21802.254520287301</v>
      </c>
      <c r="V41" s="102">
        <f t="shared" si="15"/>
        <v>2616270.5424344759</v>
      </c>
      <c r="W41" s="23">
        <v>24</v>
      </c>
      <c r="X41" s="56">
        <f t="shared" si="8"/>
        <v>17900.568443449367</v>
      </c>
      <c r="Y41" s="189">
        <f t="shared" si="29"/>
        <v>8424</v>
      </c>
      <c r="Z41" s="189">
        <f t="shared" si="16"/>
        <v>0</v>
      </c>
      <c r="AA41" s="189">
        <f t="shared" si="17"/>
        <v>704710.43155655067</v>
      </c>
      <c r="AB41" s="57">
        <f t="shared" si="18"/>
        <v>0</v>
      </c>
      <c r="AC41" s="56">
        <f t="shared" si="30"/>
        <v>704710.43155655067</v>
      </c>
      <c r="AD41" s="58"/>
      <c r="AE41" s="58"/>
      <c r="AF41" s="93">
        <f t="shared" si="31"/>
        <v>5000000</v>
      </c>
      <c r="AG41" s="56">
        <f t="shared" si="19"/>
        <v>5704710.4315565508</v>
      </c>
      <c r="AH41" s="164">
        <f t="shared" si="20"/>
        <v>0.3</v>
      </c>
      <c r="AI41" s="57">
        <f t="shared" si="35"/>
        <v>1711413.1294669651</v>
      </c>
      <c r="AJ41" s="167">
        <f t="shared" si="21"/>
        <v>427500</v>
      </c>
      <c r="AK41" s="57">
        <f t="shared" si="22"/>
        <v>1283913.1294669651</v>
      </c>
      <c r="AL41" s="57">
        <f t="shared" si="23"/>
        <v>3977713.9247764824</v>
      </c>
      <c r="AM41" s="173">
        <f t="shared" si="32"/>
        <v>0.3</v>
      </c>
      <c r="AN41" s="174">
        <f t="shared" si="33"/>
        <v>1500000</v>
      </c>
      <c r="AO41" s="171">
        <f t="shared" si="24"/>
        <v>427500</v>
      </c>
      <c r="AP41" s="171">
        <f t="shared" si="34"/>
        <v>1072500</v>
      </c>
      <c r="AQ41" s="174">
        <f t="shared" si="41"/>
        <v>3927500</v>
      </c>
      <c r="AR41" s="57">
        <f t="shared" si="26"/>
        <v>50213.924776482396</v>
      </c>
      <c r="AY41" s="130"/>
      <c r="AZ41" s="130"/>
      <c r="BA41" s="129" t="s">
        <v>64</v>
      </c>
      <c r="BB41" s="131">
        <v>20000</v>
      </c>
      <c r="BC41" s="131">
        <v>20000</v>
      </c>
      <c r="BD41" s="131">
        <v>20000</v>
      </c>
      <c r="BE41" s="131">
        <v>20000</v>
      </c>
      <c r="BF41" s="131">
        <v>20000</v>
      </c>
      <c r="BG41" s="131">
        <v>20000</v>
      </c>
      <c r="BH41" s="131">
        <v>20000</v>
      </c>
      <c r="BI41" s="131">
        <v>20000</v>
      </c>
      <c r="BJ41" s="131">
        <v>20000</v>
      </c>
      <c r="BK41" s="131">
        <v>20000</v>
      </c>
      <c r="BL41" s="131">
        <v>20000</v>
      </c>
      <c r="BM41" s="131">
        <v>20000</v>
      </c>
      <c r="BN41" s="131">
        <v>20000</v>
      </c>
      <c r="BO41" s="131">
        <v>20000</v>
      </c>
      <c r="BP41" s="131">
        <v>20000</v>
      </c>
      <c r="BQ41" s="131">
        <v>20000</v>
      </c>
      <c r="BR41" s="131">
        <v>20000</v>
      </c>
      <c r="BS41" s="131">
        <v>20000</v>
      </c>
      <c r="BT41" s="131">
        <v>20000</v>
      </c>
      <c r="BU41" s="131">
        <v>20000</v>
      </c>
      <c r="BV41" s="131">
        <v>20000</v>
      </c>
      <c r="BW41" s="131">
        <v>20000</v>
      </c>
      <c r="BX41" s="131">
        <v>20000</v>
      </c>
      <c r="BY41" s="218"/>
    </row>
    <row r="42" spans="3:77" ht="17.100000000000001" customHeight="1">
      <c r="C42" s="21">
        <v>25</v>
      </c>
      <c r="D42" s="264">
        <f t="shared" si="9"/>
        <v>0.02</v>
      </c>
      <c r="E42" s="1">
        <f t="shared" si="2"/>
        <v>0</v>
      </c>
      <c r="F42" s="215">
        <f t="shared" si="10"/>
        <v>0</v>
      </c>
      <c r="G42" s="6">
        <f t="shared" si="28"/>
        <v>460983.94575655245</v>
      </c>
      <c r="H42" s="8">
        <f t="shared" si="11"/>
        <v>451945.04485936515</v>
      </c>
      <c r="I42" s="3">
        <f t="shared" si="3"/>
        <v>9038.9008971873027</v>
      </c>
      <c r="K42" s="16">
        <f t="shared" si="4"/>
        <v>940900</v>
      </c>
      <c r="L42" s="36">
        <v>0</v>
      </c>
      <c r="M42" s="285">
        <v>0.05</v>
      </c>
      <c r="N42" s="31">
        <f t="shared" si="1"/>
        <v>171243.8</v>
      </c>
      <c r="O42" s="201">
        <f t="shared" si="59"/>
        <v>0.182</v>
      </c>
      <c r="P42" s="233"/>
      <c r="Q42" s="204">
        <f t="shared" si="13"/>
        <v>722611</v>
      </c>
      <c r="R42" s="1">
        <f t="shared" si="5"/>
        <v>460983.94575655245</v>
      </c>
      <c r="S42" s="107">
        <f t="shared" si="6"/>
        <v>0.48993936205394034</v>
      </c>
      <c r="T42" s="101">
        <f t="shared" si="14"/>
        <v>261627.05424344755</v>
      </c>
      <c r="U42" s="43">
        <f t="shared" si="7"/>
        <v>21802.254520287297</v>
      </c>
      <c r="V42" s="102">
        <f t="shared" si="15"/>
        <v>2616270.5424344754</v>
      </c>
      <c r="W42" s="24">
        <v>25</v>
      </c>
      <c r="X42" s="61">
        <f t="shared" si="8"/>
        <v>9038.9008971873027</v>
      </c>
      <c r="Y42" s="191">
        <f t="shared" si="29"/>
        <v>4254</v>
      </c>
      <c r="Z42" s="191">
        <f t="shared" si="16"/>
        <v>0</v>
      </c>
      <c r="AA42" s="191">
        <f t="shared" si="17"/>
        <v>713572.0991028127</v>
      </c>
      <c r="AB42" s="68">
        <f t="shared" si="18"/>
        <v>0</v>
      </c>
      <c r="AC42" s="61">
        <f t="shared" si="30"/>
        <v>713572.0991028127</v>
      </c>
      <c r="AD42" s="58"/>
      <c r="AE42" s="58"/>
      <c r="AF42" s="93">
        <f t="shared" si="31"/>
        <v>5000000</v>
      </c>
      <c r="AG42" s="61">
        <f t="shared" si="19"/>
        <v>5713572.0991028128</v>
      </c>
      <c r="AH42" s="164">
        <f t="shared" si="20"/>
        <v>0.3</v>
      </c>
      <c r="AI42" s="68">
        <f t="shared" si="35"/>
        <v>1714071.6297308437</v>
      </c>
      <c r="AJ42" s="167">
        <f t="shared" si="21"/>
        <v>427500</v>
      </c>
      <c r="AK42" s="68">
        <f t="shared" si="22"/>
        <v>1286571.6297308437</v>
      </c>
      <c r="AL42" s="68">
        <f t="shared" si="23"/>
        <v>3975055.4245126033</v>
      </c>
      <c r="AM42" s="175">
        <f t="shared" si="32"/>
        <v>0.3</v>
      </c>
      <c r="AN42" s="176">
        <f t="shared" si="33"/>
        <v>1500000</v>
      </c>
      <c r="AO42" s="177">
        <f t="shared" si="24"/>
        <v>427500</v>
      </c>
      <c r="AP42" s="177">
        <f t="shared" si="34"/>
        <v>1072500</v>
      </c>
      <c r="AQ42" s="174">
        <f t="shared" si="41"/>
        <v>3927500</v>
      </c>
      <c r="AR42" s="68">
        <f t="shared" si="26"/>
        <v>47555.42451260332</v>
      </c>
      <c r="AY42" s="130"/>
      <c r="AZ42" s="130"/>
      <c r="BA42" s="129" t="s">
        <v>65</v>
      </c>
      <c r="BB42" s="131">
        <f t="shared" ref="BB42:BX42" si="62">VLOOKUP(BB37,$CC$17:$CD$26,2,TRUE)</f>
        <v>5000</v>
      </c>
      <c r="BC42" s="131">
        <f t="shared" si="62"/>
        <v>5000</v>
      </c>
      <c r="BD42" s="131">
        <f t="shared" si="62"/>
        <v>5000</v>
      </c>
      <c r="BE42" s="131">
        <f t="shared" si="62"/>
        <v>5000</v>
      </c>
      <c r="BF42" s="131">
        <f t="shared" si="62"/>
        <v>5000</v>
      </c>
      <c r="BG42" s="131">
        <f t="shared" si="62"/>
        <v>5000</v>
      </c>
      <c r="BH42" s="131">
        <f t="shared" si="62"/>
        <v>5000</v>
      </c>
      <c r="BI42" s="131">
        <f t="shared" si="62"/>
        <v>5000</v>
      </c>
      <c r="BJ42" s="131">
        <f t="shared" si="62"/>
        <v>5000</v>
      </c>
      <c r="BK42" s="131">
        <f t="shared" si="62"/>
        <v>5000</v>
      </c>
      <c r="BL42" s="131">
        <f t="shared" si="62"/>
        <v>5000</v>
      </c>
      <c r="BM42" s="131">
        <f t="shared" si="62"/>
        <v>5000</v>
      </c>
      <c r="BN42" s="131">
        <f t="shared" si="62"/>
        <v>5000</v>
      </c>
      <c r="BO42" s="131">
        <f t="shared" si="62"/>
        <v>5000</v>
      </c>
      <c r="BP42" s="131">
        <f t="shared" si="62"/>
        <v>5000</v>
      </c>
      <c r="BQ42" s="131">
        <f t="shared" si="62"/>
        <v>5000</v>
      </c>
      <c r="BR42" s="131">
        <f t="shared" si="62"/>
        <v>5000</v>
      </c>
      <c r="BS42" s="131">
        <f t="shared" si="62"/>
        <v>5000</v>
      </c>
      <c r="BT42" s="131">
        <f t="shared" si="62"/>
        <v>5000</v>
      </c>
      <c r="BU42" s="131">
        <f t="shared" si="62"/>
        <v>5000</v>
      </c>
      <c r="BV42" s="131">
        <f t="shared" si="62"/>
        <v>5000</v>
      </c>
      <c r="BW42" s="131">
        <f t="shared" si="62"/>
        <v>5000</v>
      </c>
      <c r="BX42" s="131">
        <f t="shared" si="62"/>
        <v>5000</v>
      </c>
      <c r="BY42" s="218"/>
    </row>
    <row r="43" spans="3:77" ht="17.100000000000001" customHeight="1">
      <c r="C43" s="25">
        <v>26</v>
      </c>
      <c r="D43" s="266">
        <f t="shared" si="9"/>
        <v>0.02</v>
      </c>
      <c r="E43" s="15">
        <f t="shared" si="2"/>
        <v>0</v>
      </c>
      <c r="F43" s="216">
        <f t="shared" si="10"/>
        <v>0</v>
      </c>
      <c r="G43" s="26">
        <f t="shared" si="28"/>
        <v>0</v>
      </c>
      <c r="H43" s="27">
        <f t="shared" si="11"/>
        <v>0</v>
      </c>
      <c r="I43" s="28">
        <f t="shared" si="3"/>
        <v>0</v>
      </c>
      <c r="K43" s="14">
        <f t="shared" si="4"/>
        <v>940900</v>
      </c>
      <c r="L43" s="37">
        <v>0</v>
      </c>
      <c r="M43" s="284">
        <v>0.05</v>
      </c>
      <c r="N43" s="32">
        <f t="shared" si="1"/>
        <v>171243.8</v>
      </c>
      <c r="O43" s="265">
        <f t="shared" si="59"/>
        <v>0.182</v>
      </c>
      <c r="P43" s="235"/>
      <c r="Q43" s="203">
        <f t="shared" si="13"/>
        <v>722611</v>
      </c>
      <c r="R43" s="15">
        <f t="shared" si="5"/>
        <v>0</v>
      </c>
      <c r="S43" s="108">
        <f t="shared" si="6"/>
        <v>0</v>
      </c>
      <c r="T43" s="99">
        <f t="shared" si="14"/>
        <v>722611</v>
      </c>
      <c r="U43" s="41">
        <f t="shared" si="7"/>
        <v>60217.583333333336</v>
      </c>
      <c r="V43" s="103">
        <f t="shared" si="15"/>
        <v>7226110</v>
      </c>
      <c r="W43" s="23">
        <v>26</v>
      </c>
      <c r="X43" s="59">
        <f t="shared" si="8"/>
        <v>0</v>
      </c>
      <c r="Y43" s="190">
        <f t="shared" si="29"/>
        <v>0</v>
      </c>
      <c r="Z43" s="190">
        <f t="shared" si="16"/>
        <v>0</v>
      </c>
      <c r="AA43" s="190">
        <f t="shared" si="17"/>
        <v>722611</v>
      </c>
      <c r="AB43" s="67">
        <f t="shared" si="18"/>
        <v>0</v>
      </c>
      <c r="AC43" s="56">
        <f t="shared" si="30"/>
        <v>722611</v>
      </c>
      <c r="AD43" s="60"/>
      <c r="AE43" s="60"/>
      <c r="AF43" s="113">
        <f>AF18</f>
        <v>5000000</v>
      </c>
      <c r="AG43" s="59">
        <f>AC43+AF43</f>
        <v>5722611</v>
      </c>
      <c r="AH43" s="165">
        <f t="shared" si="20"/>
        <v>0.3</v>
      </c>
      <c r="AI43" s="57">
        <f t="shared" si="35"/>
        <v>1716783.3</v>
      </c>
      <c r="AJ43" s="168">
        <f t="shared" si="21"/>
        <v>427500</v>
      </c>
      <c r="AK43" s="57">
        <f t="shared" si="22"/>
        <v>1289283.3</v>
      </c>
      <c r="AL43" s="57">
        <f t="shared" si="23"/>
        <v>4433327.7</v>
      </c>
      <c r="AM43" s="173">
        <f t="shared" si="32"/>
        <v>0.3</v>
      </c>
      <c r="AN43" s="174">
        <f t="shared" si="33"/>
        <v>1500000</v>
      </c>
      <c r="AO43" s="171">
        <f t="shared" si="24"/>
        <v>427500</v>
      </c>
      <c r="AP43" s="171">
        <f t="shared" si="34"/>
        <v>1072500</v>
      </c>
      <c r="AQ43" s="178">
        <f t="shared" si="41"/>
        <v>3927500</v>
      </c>
      <c r="AR43" s="116">
        <f t="shared" si="26"/>
        <v>505827.70000000019</v>
      </c>
      <c r="AY43" s="132"/>
      <c r="AZ43" s="132"/>
      <c r="BA43" s="133">
        <v>0</v>
      </c>
      <c r="BB43" s="131">
        <f t="shared" ref="BB43:BX43" si="63">BB38*$BA$22</f>
        <v>0</v>
      </c>
      <c r="BC43" s="131">
        <f t="shared" si="63"/>
        <v>0</v>
      </c>
      <c r="BD43" s="131">
        <f t="shared" si="63"/>
        <v>0</v>
      </c>
      <c r="BE43" s="131">
        <f t="shared" si="63"/>
        <v>0</v>
      </c>
      <c r="BF43" s="131">
        <f t="shared" si="63"/>
        <v>0</v>
      </c>
      <c r="BG43" s="131">
        <f t="shared" si="63"/>
        <v>0</v>
      </c>
      <c r="BH43" s="131">
        <f t="shared" si="63"/>
        <v>0</v>
      </c>
      <c r="BI43" s="131">
        <f t="shared" si="63"/>
        <v>0</v>
      </c>
      <c r="BJ43" s="131">
        <f t="shared" si="63"/>
        <v>0</v>
      </c>
      <c r="BK43" s="131">
        <f t="shared" si="63"/>
        <v>0</v>
      </c>
      <c r="BL43" s="131">
        <f t="shared" si="63"/>
        <v>0</v>
      </c>
      <c r="BM43" s="131">
        <f t="shared" si="63"/>
        <v>0</v>
      </c>
      <c r="BN43" s="131">
        <f t="shared" si="63"/>
        <v>0</v>
      </c>
      <c r="BO43" s="131">
        <f t="shared" si="63"/>
        <v>0</v>
      </c>
      <c r="BP43" s="131">
        <f t="shared" si="63"/>
        <v>0</v>
      </c>
      <c r="BQ43" s="131">
        <f t="shared" si="63"/>
        <v>0</v>
      </c>
      <c r="BR43" s="131">
        <f t="shared" si="63"/>
        <v>0</v>
      </c>
      <c r="BS43" s="131">
        <f t="shared" si="63"/>
        <v>0</v>
      </c>
      <c r="BT43" s="131">
        <f t="shared" si="63"/>
        <v>0</v>
      </c>
      <c r="BU43" s="131">
        <f t="shared" si="63"/>
        <v>0</v>
      </c>
      <c r="BV43" s="131">
        <f t="shared" si="63"/>
        <v>0</v>
      </c>
      <c r="BW43" s="131">
        <f t="shared" si="63"/>
        <v>0</v>
      </c>
      <c r="BX43" s="131">
        <f t="shared" si="63"/>
        <v>0</v>
      </c>
      <c r="BY43" s="218"/>
    </row>
    <row r="44" spans="3:77" ht="17.100000000000001" customHeight="1">
      <c r="C44" s="21">
        <v>27</v>
      </c>
      <c r="D44" s="264">
        <f t="shared" si="9"/>
        <v>0.02</v>
      </c>
      <c r="E44" s="1">
        <f t="shared" si="2"/>
        <v>0</v>
      </c>
      <c r="F44" s="215">
        <f t="shared" si="10"/>
        <v>0</v>
      </c>
      <c r="G44" s="6">
        <f t="shared" si="28"/>
        <v>0</v>
      </c>
      <c r="H44" s="8">
        <f t="shared" si="11"/>
        <v>0</v>
      </c>
      <c r="I44" s="3">
        <f t="shared" si="3"/>
        <v>0</v>
      </c>
      <c r="K44" s="16">
        <f t="shared" si="4"/>
        <v>940900</v>
      </c>
      <c r="L44" s="36">
        <v>0</v>
      </c>
      <c r="M44" s="285">
        <v>0.05</v>
      </c>
      <c r="N44" s="31">
        <f t="shared" si="1"/>
        <v>171243.8</v>
      </c>
      <c r="O44" s="265">
        <f t="shared" si="59"/>
        <v>0.182</v>
      </c>
      <c r="P44" s="235"/>
      <c r="Q44" s="203">
        <f t="shared" si="13"/>
        <v>722611</v>
      </c>
      <c r="R44" s="1">
        <f t="shared" si="5"/>
        <v>0</v>
      </c>
      <c r="S44" s="107">
        <f t="shared" si="6"/>
        <v>0</v>
      </c>
      <c r="T44" s="99">
        <f t="shared" si="14"/>
        <v>722611</v>
      </c>
      <c r="U44" s="41">
        <f t="shared" si="7"/>
        <v>60217.583333333336</v>
      </c>
      <c r="V44" s="104">
        <f t="shared" si="15"/>
        <v>7226110</v>
      </c>
      <c r="W44" s="23">
        <v>27</v>
      </c>
      <c r="X44" s="56">
        <f t="shared" si="8"/>
        <v>0</v>
      </c>
      <c r="Y44" s="189">
        <f t="shared" si="29"/>
        <v>0</v>
      </c>
      <c r="Z44" s="189">
        <f t="shared" si="16"/>
        <v>0</v>
      </c>
      <c r="AA44" s="189">
        <f t="shared" si="17"/>
        <v>722611</v>
      </c>
      <c r="AB44" s="57">
        <f t="shared" si="18"/>
        <v>0</v>
      </c>
      <c r="AC44" s="56">
        <f t="shared" si="30"/>
        <v>722611</v>
      </c>
      <c r="AD44" s="58"/>
      <c r="AE44" s="58"/>
      <c r="AF44" s="93">
        <f t="shared" ref="AF44" si="64">$AF$18</f>
        <v>5000000</v>
      </c>
      <c r="AG44" s="56">
        <f t="shared" si="19"/>
        <v>5722611</v>
      </c>
      <c r="AH44" s="164">
        <f t="shared" si="20"/>
        <v>0.3</v>
      </c>
      <c r="AI44" s="57">
        <f t="shared" si="35"/>
        <v>1716783.3</v>
      </c>
      <c r="AJ44" s="167">
        <f t="shared" si="21"/>
        <v>427500</v>
      </c>
      <c r="AK44" s="57">
        <f t="shared" si="22"/>
        <v>1289283.3</v>
      </c>
      <c r="AL44" s="57">
        <f t="shared" si="23"/>
        <v>4433327.7</v>
      </c>
      <c r="AM44" s="173">
        <f t="shared" si="32"/>
        <v>0.3</v>
      </c>
      <c r="AN44" s="174">
        <f t="shared" si="33"/>
        <v>1500000</v>
      </c>
      <c r="AO44" s="171">
        <f t="shared" si="24"/>
        <v>427500</v>
      </c>
      <c r="AP44" s="171">
        <f t="shared" si="34"/>
        <v>1072500</v>
      </c>
      <c r="AQ44" s="174">
        <f t="shared" si="41"/>
        <v>3927500</v>
      </c>
      <c r="AR44" s="57">
        <f t="shared" si="26"/>
        <v>505827.70000000019</v>
      </c>
      <c r="AY44" s="132"/>
      <c r="AZ44" s="132"/>
      <c r="BA44" s="134" t="s">
        <v>66</v>
      </c>
      <c r="BB44" s="131">
        <f>SUM(BB40:BB42)</f>
        <v>349000</v>
      </c>
      <c r="BC44" s="131">
        <f t="shared" ref="BC44:BL44" si="65">SUM(BC40:BC42)</f>
        <v>349000</v>
      </c>
      <c r="BD44" s="131">
        <f t="shared" si="65"/>
        <v>349000</v>
      </c>
      <c r="BE44" s="131">
        <f t="shared" si="65"/>
        <v>349000</v>
      </c>
      <c r="BF44" s="131">
        <f t="shared" si="65"/>
        <v>349000</v>
      </c>
      <c r="BG44" s="131">
        <f t="shared" si="65"/>
        <v>349000</v>
      </c>
      <c r="BH44" s="131">
        <f t="shared" si="65"/>
        <v>349000</v>
      </c>
      <c r="BI44" s="131">
        <f t="shared" si="65"/>
        <v>349000</v>
      </c>
      <c r="BJ44" s="131">
        <f t="shared" si="65"/>
        <v>343000</v>
      </c>
      <c r="BK44" s="131">
        <f t="shared" si="65"/>
        <v>343000</v>
      </c>
      <c r="BL44" s="131">
        <f t="shared" si="65"/>
        <v>343000</v>
      </c>
      <c r="BM44" s="131">
        <f>SUM(BM40:BM42)</f>
        <v>343000</v>
      </c>
      <c r="BN44" s="131">
        <f t="shared" ref="BN44:BX44" si="66">SUM(BN40:BN42)</f>
        <v>343000</v>
      </c>
      <c r="BO44" s="131">
        <f t="shared" si="66"/>
        <v>343000</v>
      </c>
      <c r="BP44" s="131">
        <f t="shared" si="66"/>
        <v>343000</v>
      </c>
      <c r="BQ44" s="131">
        <f t="shared" si="66"/>
        <v>343000</v>
      </c>
      <c r="BR44" s="131">
        <f t="shared" si="66"/>
        <v>343000</v>
      </c>
      <c r="BS44" s="131">
        <f t="shared" si="66"/>
        <v>343000</v>
      </c>
      <c r="BT44" s="131">
        <f t="shared" si="66"/>
        <v>343000</v>
      </c>
      <c r="BU44" s="131">
        <f t="shared" si="66"/>
        <v>343000</v>
      </c>
      <c r="BV44" s="131">
        <f t="shared" si="66"/>
        <v>343000</v>
      </c>
      <c r="BW44" s="131">
        <f t="shared" si="66"/>
        <v>343000</v>
      </c>
      <c r="BX44" s="131">
        <f t="shared" si="66"/>
        <v>343000</v>
      </c>
      <c r="BY44" s="218"/>
    </row>
    <row r="45" spans="3:77" ht="17.100000000000001" customHeight="1">
      <c r="C45" s="21">
        <v>28</v>
      </c>
      <c r="D45" s="264">
        <f t="shared" si="9"/>
        <v>0.02</v>
      </c>
      <c r="E45" s="1">
        <f t="shared" si="2"/>
        <v>0</v>
      </c>
      <c r="F45" s="215">
        <f t="shared" si="10"/>
        <v>0</v>
      </c>
      <c r="G45" s="6">
        <f t="shared" si="28"/>
        <v>0</v>
      </c>
      <c r="H45" s="8">
        <f t="shared" si="11"/>
        <v>0</v>
      </c>
      <c r="I45" s="3">
        <f t="shared" si="3"/>
        <v>0</v>
      </c>
      <c r="K45" s="16">
        <f t="shared" si="4"/>
        <v>940900</v>
      </c>
      <c r="L45" s="36">
        <v>0</v>
      </c>
      <c r="M45" s="285">
        <v>0.05</v>
      </c>
      <c r="N45" s="31">
        <f t="shared" si="1"/>
        <v>171243.8</v>
      </c>
      <c r="O45" s="265">
        <f t="shared" si="59"/>
        <v>0.182</v>
      </c>
      <c r="P45" s="235"/>
      <c r="Q45" s="203">
        <f t="shared" si="13"/>
        <v>722611</v>
      </c>
      <c r="R45" s="1">
        <f t="shared" si="5"/>
        <v>0</v>
      </c>
      <c r="S45" s="107">
        <f t="shared" si="6"/>
        <v>0</v>
      </c>
      <c r="T45" s="99">
        <f t="shared" si="14"/>
        <v>722611</v>
      </c>
      <c r="U45" s="41">
        <f t="shared" si="7"/>
        <v>60217.583333333336</v>
      </c>
      <c r="V45" s="104">
        <f t="shared" si="15"/>
        <v>7226110</v>
      </c>
      <c r="W45" s="23">
        <v>28</v>
      </c>
      <c r="X45" s="56">
        <f t="shared" si="8"/>
        <v>0</v>
      </c>
      <c r="Y45" s="189">
        <f t="shared" si="29"/>
        <v>0</v>
      </c>
      <c r="Z45" s="189">
        <f t="shared" si="16"/>
        <v>0</v>
      </c>
      <c r="AA45" s="189">
        <f t="shared" si="17"/>
        <v>722611</v>
      </c>
      <c r="AB45" s="57">
        <f t="shared" si="18"/>
        <v>0</v>
      </c>
      <c r="AC45" s="56">
        <f t="shared" si="30"/>
        <v>722611</v>
      </c>
      <c r="AD45" s="58"/>
      <c r="AE45" s="58"/>
      <c r="AF45" s="93">
        <f t="shared" si="31"/>
        <v>5000000</v>
      </c>
      <c r="AG45" s="56">
        <f t="shared" si="19"/>
        <v>5722611</v>
      </c>
      <c r="AH45" s="164">
        <f t="shared" si="20"/>
        <v>0.3</v>
      </c>
      <c r="AI45" s="57">
        <f t="shared" si="35"/>
        <v>1716783.3</v>
      </c>
      <c r="AJ45" s="167">
        <f t="shared" si="21"/>
        <v>427500</v>
      </c>
      <c r="AK45" s="57">
        <f t="shared" si="22"/>
        <v>1289283.3</v>
      </c>
      <c r="AL45" s="57">
        <f t="shared" si="23"/>
        <v>4433327.7</v>
      </c>
      <c r="AM45" s="173">
        <f t="shared" si="32"/>
        <v>0.3</v>
      </c>
      <c r="AN45" s="174">
        <f t="shared" si="33"/>
        <v>1500000</v>
      </c>
      <c r="AO45" s="171">
        <f t="shared" si="24"/>
        <v>427500</v>
      </c>
      <c r="AP45" s="171">
        <f t="shared" si="34"/>
        <v>1072500</v>
      </c>
      <c r="AQ45" s="174">
        <f t="shared" si="41"/>
        <v>3927500</v>
      </c>
      <c r="AR45" s="57">
        <f t="shared" si="26"/>
        <v>505827.70000000019</v>
      </c>
      <c r="AY45" s="132" t="s">
        <v>67</v>
      </c>
      <c r="AZ45" s="132"/>
      <c r="BA45" s="135" t="s">
        <v>68</v>
      </c>
      <c r="BB45" s="131">
        <f t="shared" ref="BB45:BL45" si="67">SUM(BB40:BB43)</f>
        <v>349000</v>
      </c>
      <c r="BC45" s="131">
        <f t="shared" si="67"/>
        <v>349000</v>
      </c>
      <c r="BD45" s="131">
        <f t="shared" si="67"/>
        <v>349000</v>
      </c>
      <c r="BE45" s="131">
        <f t="shared" si="67"/>
        <v>349000</v>
      </c>
      <c r="BF45" s="131">
        <f t="shared" si="67"/>
        <v>349000</v>
      </c>
      <c r="BG45" s="131">
        <f t="shared" si="67"/>
        <v>349000</v>
      </c>
      <c r="BH45" s="131">
        <f t="shared" si="67"/>
        <v>349000</v>
      </c>
      <c r="BI45" s="131">
        <f t="shared" si="67"/>
        <v>349000</v>
      </c>
      <c r="BJ45" s="131">
        <f t="shared" si="67"/>
        <v>343000</v>
      </c>
      <c r="BK45" s="131">
        <f t="shared" si="67"/>
        <v>343000</v>
      </c>
      <c r="BL45" s="131">
        <f t="shared" si="67"/>
        <v>343000</v>
      </c>
      <c r="BM45" s="131">
        <f>SUM(BM40:BM43)</f>
        <v>343000</v>
      </c>
      <c r="BN45" s="131">
        <f t="shared" ref="BN45:BX45" si="68">SUM(BN40:BN43)</f>
        <v>343000</v>
      </c>
      <c r="BO45" s="131">
        <f t="shared" si="68"/>
        <v>343000</v>
      </c>
      <c r="BP45" s="131">
        <f t="shared" si="68"/>
        <v>343000</v>
      </c>
      <c r="BQ45" s="131">
        <f t="shared" si="68"/>
        <v>343000</v>
      </c>
      <c r="BR45" s="131">
        <f t="shared" si="68"/>
        <v>343000</v>
      </c>
      <c r="BS45" s="131">
        <f t="shared" si="68"/>
        <v>343000</v>
      </c>
      <c r="BT45" s="131">
        <f t="shared" si="68"/>
        <v>343000</v>
      </c>
      <c r="BU45" s="131">
        <f t="shared" si="68"/>
        <v>343000</v>
      </c>
      <c r="BV45" s="131">
        <f t="shared" si="68"/>
        <v>343000</v>
      </c>
      <c r="BW45" s="131">
        <f t="shared" si="68"/>
        <v>343000</v>
      </c>
      <c r="BX45" s="131">
        <f t="shared" si="68"/>
        <v>343000</v>
      </c>
      <c r="BY45" s="218"/>
    </row>
    <row r="46" spans="3:77" ht="17.100000000000001" customHeight="1">
      <c r="C46" s="21">
        <v>29</v>
      </c>
      <c r="D46" s="264">
        <f t="shared" si="9"/>
        <v>0.02</v>
      </c>
      <c r="E46" s="1">
        <f t="shared" si="2"/>
        <v>0</v>
      </c>
      <c r="F46" s="215">
        <f t="shared" si="10"/>
        <v>0</v>
      </c>
      <c r="G46" s="6">
        <f t="shared" si="28"/>
        <v>0</v>
      </c>
      <c r="H46" s="8">
        <f t="shared" si="11"/>
        <v>0</v>
      </c>
      <c r="I46" s="3">
        <f t="shared" si="3"/>
        <v>0</v>
      </c>
      <c r="K46" s="16">
        <f t="shared" si="4"/>
        <v>940900</v>
      </c>
      <c r="L46" s="36">
        <v>0</v>
      </c>
      <c r="M46" s="285">
        <v>0.05</v>
      </c>
      <c r="N46" s="31">
        <f t="shared" si="1"/>
        <v>171243.8</v>
      </c>
      <c r="O46" s="265">
        <f t="shared" si="59"/>
        <v>0.182</v>
      </c>
      <c r="P46" s="235"/>
      <c r="Q46" s="203">
        <f t="shared" si="13"/>
        <v>722611</v>
      </c>
      <c r="R46" s="1">
        <f t="shared" si="5"/>
        <v>0</v>
      </c>
      <c r="S46" s="107">
        <f t="shared" si="6"/>
        <v>0</v>
      </c>
      <c r="T46" s="99">
        <f t="shared" si="14"/>
        <v>722611</v>
      </c>
      <c r="U46" s="41">
        <f t="shared" si="7"/>
        <v>60217.583333333336</v>
      </c>
      <c r="V46" s="104">
        <f t="shared" si="15"/>
        <v>7226110</v>
      </c>
      <c r="W46" s="23">
        <v>29</v>
      </c>
      <c r="X46" s="56">
        <f t="shared" si="8"/>
        <v>0</v>
      </c>
      <c r="Y46" s="189">
        <f t="shared" si="29"/>
        <v>0</v>
      </c>
      <c r="Z46" s="189">
        <f t="shared" si="16"/>
        <v>0</v>
      </c>
      <c r="AA46" s="189">
        <f t="shared" si="17"/>
        <v>722611</v>
      </c>
      <c r="AB46" s="57">
        <f t="shared" si="18"/>
        <v>0</v>
      </c>
      <c r="AC46" s="56">
        <f t="shared" si="30"/>
        <v>722611</v>
      </c>
      <c r="AD46" s="58"/>
      <c r="AE46" s="58"/>
      <c r="AF46" s="93">
        <f t="shared" si="31"/>
        <v>5000000</v>
      </c>
      <c r="AG46" s="56">
        <f t="shared" si="19"/>
        <v>5722611</v>
      </c>
      <c r="AH46" s="164">
        <f t="shared" si="20"/>
        <v>0.3</v>
      </c>
      <c r="AI46" s="57">
        <f t="shared" si="35"/>
        <v>1716783.3</v>
      </c>
      <c r="AJ46" s="167">
        <f t="shared" si="21"/>
        <v>427500</v>
      </c>
      <c r="AK46" s="57">
        <f t="shared" si="22"/>
        <v>1289283.3</v>
      </c>
      <c r="AL46" s="57">
        <f t="shared" si="23"/>
        <v>4433327.7</v>
      </c>
      <c r="AM46" s="173">
        <f t="shared" si="32"/>
        <v>0.3</v>
      </c>
      <c r="AN46" s="174">
        <f t="shared" si="33"/>
        <v>1500000</v>
      </c>
      <c r="AO46" s="171">
        <f t="shared" si="24"/>
        <v>427500</v>
      </c>
      <c r="AP46" s="171">
        <f t="shared" si="34"/>
        <v>1072500</v>
      </c>
      <c r="AQ46" s="174">
        <f t="shared" si="41"/>
        <v>3927500</v>
      </c>
      <c r="AR46" s="57">
        <f t="shared" si="26"/>
        <v>505827.70000000019</v>
      </c>
      <c r="AY46" s="124" t="s">
        <v>69</v>
      </c>
      <c r="AZ46" s="124" t="s">
        <v>74</v>
      </c>
      <c r="BA46" s="125"/>
      <c r="BB46" s="126">
        <f t="shared" ref="BB46:BK46" si="69">BB37-(BB39+BB44)</f>
        <v>3372423</v>
      </c>
      <c r="BC46" s="126">
        <f t="shared" si="69"/>
        <v>3750994</v>
      </c>
      <c r="BD46" s="126">
        <f t="shared" si="69"/>
        <v>3750994</v>
      </c>
      <c r="BE46" s="126">
        <f t="shared" si="69"/>
        <v>3750994</v>
      </c>
      <c r="BF46" s="126">
        <f t="shared" si="69"/>
        <v>3750994</v>
      </c>
      <c r="BG46" s="126">
        <f t="shared" si="69"/>
        <v>3750994</v>
      </c>
      <c r="BH46" s="126">
        <f t="shared" si="69"/>
        <v>3750994</v>
      </c>
      <c r="BI46" s="126">
        <f>BI37-(BI39+BI44)</f>
        <v>3750994</v>
      </c>
      <c r="BJ46" s="126">
        <f>BJ37-(BJ39+BJ44)</f>
        <v>3556994</v>
      </c>
      <c r="BK46" s="126">
        <f t="shared" si="69"/>
        <v>3556994</v>
      </c>
      <c r="BL46" s="126">
        <f>BL37-(BL39+BL44)</f>
        <v>3556994</v>
      </c>
      <c r="BM46" s="126">
        <f t="shared" ref="BM46:BX46" si="70">BM37-(BM39+BM44)</f>
        <v>3556994</v>
      </c>
      <c r="BN46" s="126">
        <f t="shared" si="70"/>
        <v>3556994</v>
      </c>
      <c r="BO46" s="126">
        <f t="shared" si="70"/>
        <v>3556994</v>
      </c>
      <c r="BP46" s="126">
        <f t="shared" si="70"/>
        <v>3556994</v>
      </c>
      <c r="BQ46" s="126">
        <f t="shared" si="70"/>
        <v>3556994</v>
      </c>
      <c r="BR46" s="126">
        <f t="shared" si="70"/>
        <v>3556994</v>
      </c>
      <c r="BS46" s="126">
        <f t="shared" si="70"/>
        <v>3556994</v>
      </c>
      <c r="BT46" s="126">
        <f t="shared" si="70"/>
        <v>3556994</v>
      </c>
      <c r="BU46" s="126">
        <f t="shared" si="70"/>
        <v>3556994</v>
      </c>
      <c r="BV46" s="126">
        <f t="shared" si="70"/>
        <v>3556994</v>
      </c>
      <c r="BW46" s="126">
        <f t="shared" si="70"/>
        <v>3556994</v>
      </c>
      <c r="BX46" s="126">
        <f t="shared" si="70"/>
        <v>3556994</v>
      </c>
      <c r="BY46" s="218"/>
    </row>
    <row r="47" spans="3:77" ht="17.100000000000001" customHeight="1">
      <c r="C47" s="22">
        <v>30</v>
      </c>
      <c r="D47" s="271">
        <f t="shared" si="9"/>
        <v>0.02</v>
      </c>
      <c r="E47" s="4">
        <f t="shared" si="2"/>
        <v>0</v>
      </c>
      <c r="F47" s="217">
        <f t="shared" si="10"/>
        <v>0</v>
      </c>
      <c r="G47" s="7">
        <f t="shared" si="28"/>
        <v>0</v>
      </c>
      <c r="H47" s="9">
        <f t="shared" si="11"/>
        <v>0</v>
      </c>
      <c r="I47" s="5">
        <f t="shared" si="3"/>
        <v>0</v>
      </c>
      <c r="K47" s="17">
        <f t="shared" si="4"/>
        <v>940900</v>
      </c>
      <c r="L47" s="38">
        <v>0</v>
      </c>
      <c r="M47" s="286">
        <v>0.05</v>
      </c>
      <c r="N47" s="33">
        <f t="shared" si="1"/>
        <v>171243.8</v>
      </c>
      <c r="O47" s="201">
        <f t="shared" si="59"/>
        <v>0.182</v>
      </c>
      <c r="P47" s="233"/>
      <c r="Q47" s="204">
        <f t="shared" si="13"/>
        <v>722611</v>
      </c>
      <c r="R47" s="4">
        <f t="shared" si="5"/>
        <v>0</v>
      </c>
      <c r="S47" s="109">
        <f t="shared" si="6"/>
        <v>0</v>
      </c>
      <c r="T47" s="101">
        <f t="shared" si="14"/>
        <v>722611</v>
      </c>
      <c r="U47" s="41">
        <f t="shared" si="7"/>
        <v>60217.583333333336</v>
      </c>
      <c r="V47" s="105">
        <f t="shared" si="15"/>
        <v>7226110</v>
      </c>
      <c r="W47" s="24">
        <v>30</v>
      </c>
      <c r="X47" s="61">
        <f t="shared" si="8"/>
        <v>0</v>
      </c>
      <c r="Y47" s="191">
        <f t="shared" si="29"/>
        <v>0</v>
      </c>
      <c r="Z47" s="191">
        <f t="shared" si="16"/>
        <v>0</v>
      </c>
      <c r="AA47" s="191">
        <f t="shared" si="17"/>
        <v>722611</v>
      </c>
      <c r="AB47" s="68">
        <f t="shared" si="18"/>
        <v>0</v>
      </c>
      <c r="AC47" s="61">
        <f t="shared" si="30"/>
        <v>722611</v>
      </c>
      <c r="AD47" s="62"/>
      <c r="AE47" s="62"/>
      <c r="AF47" s="114">
        <f t="shared" si="31"/>
        <v>5000000</v>
      </c>
      <c r="AG47" s="61">
        <f t="shared" si="19"/>
        <v>5722611</v>
      </c>
      <c r="AH47" s="166">
        <f t="shared" si="20"/>
        <v>0.3</v>
      </c>
      <c r="AI47" s="57">
        <f t="shared" si="35"/>
        <v>1716783.3</v>
      </c>
      <c r="AJ47" s="169">
        <f t="shared" si="21"/>
        <v>427500</v>
      </c>
      <c r="AK47" s="68">
        <f t="shared" si="22"/>
        <v>1289283.3</v>
      </c>
      <c r="AL47" s="68">
        <f t="shared" si="23"/>
        <v>4433327.7</v>
      </c>
      <c r="AM47" s="175">
        <f t="shared" si="32"/>
        <v>0.3</v>
      </c>
      <c r="AN47" s="176">
        <f t="shared" si="33"/>
        <v>1500000</v>
      </c>
      <c r="AO47" s="177">
        <f t="shared" si="24"/>
        <v>427500</v>
      </c>
      <c r="AP47" s="177">
        <f t="shared" si="34"/>
        <v>1072500</v>
      </c>
      <c r="AQ47" s="176">
        <f t="shared" si="41"/>
        <v>3927500</v>
      </c>
      <c r="AR47" s="68">
        <f t="shared" si="26"/>
        <v>505827.70000000019</v>
      </c>
      <c r="AY47" s="136"/>
      <c r="AZ47" s="136" t="s">
        <v>70</v>
      </c>
      <c r="BA47" s="137" t="s">
        <v>71</v>
      </c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220"/>
    </row>
    <row r="48" spans="3:77" ht="17.100000000000001" customHeight="1">
      <c r="C48" s="21">
        <v>31</v>
      </c>
      <c r="D48" s="264">
        <f t="shared" si="9"/>
        <v>0.02</v>
      </c>
      <c r="E48" s="1">
        <f t="shared" si="2"/>
        <v>0</v>
      </c>
      <c r="F48" s="215">
        <f t="shared" si="10"/>
        <v>0</v>
      </c>
      <c r="G48" s="6">
        <f t="shared" si="28"/>
        <v>0</v>
      </c>
      <c r="H48" s="8">
        <f t="shared" si="11"/>
        <v>0</v>
      </c>
      <c r="I48" s="3">
        <f t="shared" si="3"/>
        <v>0</v>
      </c>
      <c r="K48" s="16">
        <f t="shared" si="4"/>
        <v>940900</v>
      </c>
      <c r="L48" s="36">
        <v>0</v>
      </c>
      <c r="M48" s="285">
        <v>0.05</v>
      </c>
      <c r="N48" s="31">
        <f t="shared" si="1"/>
        <v>188180</v>
      </c>
      <c r="O48" s="207">
        <f>ROUND(O47*(1+P48),3)</f>
        <v>0.2</v>
      </c>
      <c r="P48" s="283">
        <v>0.1</v>
      </c>
      <c r="Q48" s="203">
        <f t="shared" si="13"/>
        <v>705675</v>
      </c>
      <c r="R48" s="1">
        <f t="shared" si="5"/>
        <v>0</v>
      </c>
      <c r="S48" s="108">
        <f t="shared" si="6"/>
        <v>0</v>
      </c>
      <c r="T48" s="99">
        <f t="shared" si="14"/>
        <v>705675</v>
      </c>
      <c r="U48" s="44">
        <f t="shared" si="7"/>
        <v>58806.25</v>
      </c>
      <c r="V48" s="102">
        <f t="shared" si="15"/>
        <v>7056750</v>
      </c>
      <c r="W48" s="23">
        <v>31</v>
      </c>
      <c r="X48" s="59">
        <f t="shared" si="8"/>
        <v>0</v>
      </c>
      <c r="Y48" s="190">
        <f>I48</f>
        <v>0</v>
      </c>
      <c r="Z48" s="190">
        <f t="shared" si="16"/>
        <v>0</v>
      </c>
      <c r="AA48" s="190">
        <f t="shared" si="17"/>
        <v>705675</v>
      </c>
      <c r="AB48" s="67">
        <f t="shared" si="18"/>
        <v>0</v>
      </c>
      <c r="AC48" s="56">
        <f t="shared" si="30"/>
        <v>705675</v>
      </c>
      <c r="AD48" s="58"/>
      <c r="AE48" s="58"/>
      <c r="AF48" s="93">
        <f>AF18</f>
        <v>5000000</v>
      </c>
      <c r="AG48" s="59">
        <f t="shared" si="19"/>
        <v>5705675</v>
      </c>
      <c r="AH48" s="164">
        <f t="shared" si="20"/>
        <v>0.3</v>
      </c>
      <c r="AI48" s="67">
        <f t="shared" si="35"/>
        <v>1711702.5</v>
      </c>
      <c r="AJ48" s="167">
        <f t="shared" si="21"/>
        <v>427500</v>
      </c>
      <c r="AK48" s="57">
        <f t="shared" si="22"/>
        <v>1284202.5</v>
      </c>
      <c r="AL48" s="57">
        <f t="shared" si="23"/>
        <v>4421472.5</v>
      </c>
      <c r="AM48" s="173">
        <f t="shared" si="32"/>
        <v>0.3</v>
      </c>
      <c r="AN48" s="174">
        <f t="shared" si="33"/>
        <v>1500000</v>
      </c>
      <c r="AO48" s="171">
        <f t="shared" si="24"/>
        <v>427500</v>
      </c>
      <c r="AP48" s="171">
        <f t="shared" si="34"/>
        <v>1072500</v>
      </c>
      <c r="AQ48" s="174">
        <f t="shared" si="41"/>
        <v>3927500</v>
      </c>
      <c r="AR48" s="116">
        <f t="shared" si="26"/>
        <v>493972.5</v>
      </c>
      <c r="AY48" s="139"/>
      <c r="AZ48" s="139"/>
      <c r="BA48" s="140" t="s">
        <v>72</v>
      </c>
      <c r="BB48" s="138">
        <f>IF(BB46*0.20315&lt;=0,0,BB46*0.20315)</f>
        <v>685107.73245000001</v>
      </c>
      <c r="BC48" s="138">
        <f t="shared" ref="BC48:BX48" si="71">IF(BC46*0.20315&lt;=0,0,BC46*0.20315)</f>
        <v>762014.43110000005</v>
      </c>
      <c r="BD48" s="138">
        <f t="shared" si="71"/>
        <v>762014.43110000005</v>
      </c>
      <c r="BE48" s="138">
        <f t="shared" si="71"/>
        <v>762014.43110000005</v>
      </c>
      <c r="BF48" s="138">
        <f t="shared" si="71"/>
        <v>762014.43110000005</v>
      </c>
      <c r="BG48" s="138">
        <f t="shared" si="71"/>
        <v>762014.43110000005</v>
      </c>
      <c r="BH48" s="138">
        <f t="shared" si="71"/>
        <v>762014.43110000005</v>
      </c>
      <c r="BI48" s="138">
        <f t="shared" si="71"/>
        <v>762014.43110000005</v>
      </c>
      <c r="BJ48" s="138">
        <f>IF(BJ46*0.20315&lt;=0,0,BJ46*0.20315)</f>
        <v>722603.33109999995</v>
      </c>
      <c r="BK48" s="138">
        <f t="shared" si="71"/>
        <v>722603.33109999995</v>
      </c>
      <c r="BL48" s="138">
        <f t="shared" si="71"/>
        <v>722603.33109999995</v>
      </c>
      <c r="BM48" s="138">
        <f t="shared" si="71"/>
        <v>722603.33109999995</v>
      </c>
      <c r="BN48" s="138">
        <f t="shared" si="71"/>
        <v>722603.33109999995</v>
      </c>
      <c r="BO48" s="138">
        <f t="shared" si="71"/>
        <v>722603.33109999995</v>
      </c>
      <c r="BP48" s="138">
        <f t="shared" si="71"/>
        <v>722603.33109999995</v>
      </c>
      <c r="BQ48" s="138">
        <f t="shared" si="71"/>
        <v>722603.33109999995</v>
      </c>
      <c r="BR48" s="138">
        <f t="shared" si="71"/>
        <v>722603.33109999995</v>
      </c>
      <c r="BS48" s="138">
        <f t="shared" si="71"/>
        <v>722603.33109999995</v>
      </c>
      <c r="BT48" s="138">
        <f t="shared" si="71"/>
        <v>722603.33109999995</v>
      </c>
      <c r="BU48" s="138">
        <f t="shared" si="71"/>
        <v>722603.33109999995</v>
      </c>
      <c r="BV48" s="138">
        <f t="shared" si="71"/>
        <v>722603.33109999995</v>
      </c>
      <c r="BW48" s="138">
        <f t="shared" si="71"/>
        <v>722603.33109999995</v>
      </c>
      <c r="BX48" s="138">
        <f t="shared" si="71"/>
        <v>722603.33109999995</v>
      </c>
      <c r="BY48" s="220"/>
    </row>
    <row r="49" spans="3:77" ht="17.100000000000001" customHeight="1">
      <c r="C49" s="21">
        <v>32</v>
      </c>
      <c r="D49" s="264">
        <f t="shared" si="9"/>
        <v>0.02</v>
      </c>
      <c r="E49" s="1">
        <f t="shared" si="2"/>
        <v>0</v>
      </c>
      <c r="F49" s="215">
        <f t="shared" si="10"/>
        <v>0</v>
      </c>
      <c r="G49" s="6">
        <f t="shared" si="28"/>
        <v>0</v>
      </c>
      <c r="H49" s="8">
        <f t="shared" si="11"/>
        <v>0</v>
      </c>
      <c r="I49" s="3">
        <f t="shared" si="3"/>
        <v>0</v>
      </c>
      <c r="K49" s="16">
        <f t="shared" si="4"/>
        <v>940900</v>
      </c>
      <c r="L49" s="36">
        <v>0</v>
      </c>
      <c r="M49" s="285">
        <v>0.05</v>
      </c>
      <c r="N49" s="31">
        <f t="shared" si="1"/>
        <v>188180</v>
      </c>
      <c r="O49" s="265">
        <f>$O$48</f>
        <v>0.2</v>
      </c>
      <c r="P49" s="235"/>
      <c r="Q49" s="203">
        <f t="shared" si="13"/>
        <v>705675</v>
      </c>
      <c r="R49" s="1">
        <f t="shared" si="5"/>
        <v>0</v>
      </c>
      <c r="S49" s="107">
        <f t="shared" si="6"/>
        <v>0</v>
      </c>
      <c r="T49" s="99">
        <f t="shared" si="14"/>
        <v>705675</v>
      </c>
      <c r="U49" s="45">
        <f t="shared" si="7"/>
        <v>58806.25</v>
      </c>
      <c r="V49" s="102">
        <f t="shared" si="15"/>
        <v>7056750</v>
      </c>
      <c r="W49" s="23">
        <v>32</v>
      </c>
      <c r="X49" s="56">
        <f t="shared" si="8"/>
        <v>0</v>
      </c>
      <c r="Y49" s="189">
        <f>I49</f>
        <v>0</v>
      </c>
      <c r="Z49" s="189">
        <f t="shared" si="16"/>
        <v>0</v>
      </c>
      <c r="AA49" s="189">
        <f t="shared" si="17"/>
        <v>705675</v>
      </c>
      <c r="AB49" s="57">
        <f t="shared" si="18"/>
        <v>0</v>
      </c>
      <c r="AC49" s="56">
        <f t="shared" si="30"/>
        <v>705675</v>
      </c>
      <c r="AD49" s="58"/>
      <c r="AE49" s="58"/>
      <c r="AF49" s="93">
        <f t="shared" ref="AF49" si="72">$AF$18</f>
        <v>5000000</v>
      </c>
      <c r="AG49" s="56">
        <f t="shared" si="19"/>
        <v>5705675</v>
      </c>
      <c r="AH49" s="164">
        <f t="shared" si="20"/>
        <v>0.3</v>
      </c>
      <c r="AI49" s="57">
        <f t="shared" si="35"/>
        <v>1711702.5</v>
      </c>
      <c r="AJ49" s="167">
        <f t="shared" si="21"/>
        <v>427500</v>
      </c>
      <c r="AK49" s="57">
        <f t="shared" si="22"/>
        <v>1284202.5</v>
      </c>
      <c r="AL49" s="57">
        <f t="shared" si="23"/>
        <v>4421472.5</v>
      </c>
      <c r="AM49" s="173">
        <f t="shared" si="32"/>
        <v>0.3</v>
      </c>
      <c r="AN49" s="174">
        <f t="shared" si="33"/>
        <v>1500000</v>
      </c>
      <c r="AO49" s="171">
        <f t="shared" si="24"/>
        <v>427500</v>
      </c>
      <c r="AP49" s="171">
        <f t="shared" si="34"/>
        <v>1072500</v>
      </c>
      <c r="AQ49" s="174">
        <f t="shared" si="41"/>
        <v>3927500</v>
      </c>
      <c r="AR49" s="57">
        <f t="shared" si="26"/>
        <v>493972.5</v>
      </c>
      <c r="AY49" s="141"/>
      <c r="AZ49" s="141"/>
      <c r="BA49" s="142"/>
      <c r="BB49" s="143">
        <f t="shared" ref="BB49:BJ49" si="73">SUM(BB48:BB48)</f>
        <v>685107.73245000001</v>
      </c>
      <c r="BC49" s="143">
        <f t="shared" si="73"/>
        <v>762014.43110000005</v>
      </c>
      <c r="BD49" s="143">
        <f t="shared" si="73"/>
        <v>762014.43110000005</v>
      </c>
      <c r="BE49" s="143">
        <f t="shared" si="73"/>
        <v>762014.43110000005</v>
      </c>
      <c r="BF49" s="143">
        <f t="shared" si="73"/>
        <v>762014.43110000005</v>
      </c>
      <c r="BG49" s="143">
        <f t="shared" si="73"/>
        <v>762014.43110000005</v>
      </c>
      <c r="BH49" s="143">
        <f t="shared" si="73"/>
        <v>762014.43110000005</v>
      </c>
      <c r="BI49" s="143">
        <f t="shared" si="73"/>
        <v>762014.43110000005</v>
      </c>
      <c r="BJ49" s="143">
        <f t="shared" si="73"/>
        <v>722603.33109999995</v>
      </c>
      <c r="BK49" s="143">
        <f t="shared" ref="BK49:BX49" si="74">SUM(BK48:BK48)</f>
        <v>722603.33109999995</v>
      </c>
      <c r="BL49" s="143">
        <f t="shared" si="74"/>
        <v>722603.33109999995</v>
      </c>
      <c r="BM49" s="143">
        <f t="shared" si="74"/>
        <v>722603.33109999995</v>
      </c>
      <c r="BN49" s="143">
        <f t="shared" si="74"/>
        <v>722603.33109999995</v>
      </c>
      <c r="BO49" s="143">
        <f t="shared" si="74"/>
        <v>722603.33109999995</v>
      </c>
      <c r="BP49" s="143">
        <f t="shared" si="74"/>
        <v>722603.33109999995</v>
      </c>
      <c r="BQ49" s="143">
        <f t="shared" si="74"/>
        <v>722603.33109999995</v>
      </c>
      <c r="BR49" s="143">
        <f t="shared" si="74"/>
        <v>722603.33109999995</v>
      </c>
      <c r="BS49" s="143">
        <f t="shared" si="74"/>
        <v>722603.33109999995</v>
      </c>
      <c r="BT49" s="143">
        <f t="shared" si="74"/>
        <v>722603.33109999995</v>
      </c>
      <c r="BU49" s="143">
        <f t="shared" si="74"/>
        <v>722603.33109999995</v>
      </c>
      <c r="BV49" s="143">
        <f t="shared" si="74"/>
        <v>722603.33109999995</v>
      </c>
      <c r="BW49" s="143">
        <f t="shared" si="74"/>
        <v>722603.33109999995</v>
      </c>
      <c r="BX49" s="143">
        <f t="shared" si="74"/>
        <v>722603.33109999995</v>
      </c>
      <c r="BY49" s="274"/>
    </row>
    <row r="50" spans="3:77" ht="17.100000000000001" customHeight="1">
      <c r="C50" s="21">
        <v>33</v>
      </c>
      <c r="D50" s="264">
        <f t="shared" si="9"/>
        <v>0.02</v>
      </c>
      <c r="E50" s="1">
        <f t="shared" si="2"/>
        <v>0</v>
      </c>
      <c r="F50" s="215">
        <f t="shared" si="10"/>
        <v>0</v>
      </c>
      <c r="G50" s="6">
        <f t="shared" si="28"/>
        <v>0</v>
      </c>
      <c r="H50" s="8">
        <f t="shared" si="11"/>
        <v>0</v>
      </c>
      <c r="I50" s="3">
        <f t="shared" si="3"/>
        <v>0</v>
      </c>
      <c r="K50" s="16">
        <f t="shared" si="4"/>
        <v>940900</v>
      </c>
      <c r="L50" s="36">
        <v>0</v>
      </c>
      <c r="M50" s="285">
        <v>0.05</v>
      </c>
      <c r="N50" s="31">
        <f t="shared" si="1"/>
        <v>188180</v>
      </c>
      <c r="O50" s="234">
        <f t="shared" ref="O50:O52" si="75">$O$48</f>
        <v>0.2</v>
      </c>
      <c r="P50" s="235"/>
      <c r="Q50" s="203">
        <f t="shared" si="13"/>
        <v>705675</v>
      </c>
      <c r="R50" s="1">
        <f t="shared" si="5"/>
        <v>0</v>
      </c>
      <c r="S50" s="107">
        <f t="shared" si="6"/>
        <v>0</v>
      </c>
      <c r="T50" s="99">
        <f t="shared" si="14"/>
        <v>705675</v>
      </c>
      <c r="U50" s="45">
        <f t="shared" si="7"/>
        <v>58806.25</v>
      </c>
      <c r="V50" s="102">
        <f t="shared" si="15"/>
        <v>7056750</v>
      </c>
      <c r="W50" s="23">
        <v>33</v>
      </c>
      <c r="X50" s="56">
        <f t="shared" si="8"/>
        <v>0</v>
      </c>
      <c r="Y50" s="189">
        <f>I50</f>
        <v>0</v>
      </c>
      <c r="Z50" s="189">
        <f t="shared" si="16"/>
        <v>0</v>
      </c>
      <c r="AA50" s="189">
        <f t="shared" si="17"/>
        <v>705675</v>
      </c>
      <c r="AB50" s="57">
        <f t="shared" si="18"/>
        <v>0</v>
      </c>
      <c r="AC50" s="56">
        <f t="shared" si="30"/>
        <v>705675</v>
      </c>
      <c r="AD50" s="58"/>
      <c r="AE50" s="58"/>
      <c r="AF50" s="93">
        <f t="shared" si="31"/>
        <v>5000000</v>
      </c>
      <c r="AG50" s="56">
        <f t="shared" si="19"/>
        <v>5705675</v>
      </c>
      <c r="AH50" s="164">
        <f t="shared" si="20"/>
        <v>0.3</v>
      </c>
      <c r="AI50" s="57">
        <f t="shared" si="35"/>
        <v>1711702.5</v>
      </c>
      <c r="AJ50" s="167">
        <f t="shared" si="21"/>
        <v>427500</v>
      </c>
      <c r="AK50" s="57">
        <f t="shared" si="22"/>
        <v>1284202.5</v>
      </c>
      <c r="AL50" s="57">
        <f t="shared" si="23"/>
        <v>4421472.5</v>
      </c>
      <c r="AM50" s="173">
        <f t="shared" si="32"/>
        <v>0.3</v>
      </c>
      <c r="AN50" s="174">
        <f t="shared" si="33"/>
        <v>1500000</v>
      </c>
      <c r="AO50" s="171">
        <f t="shared" si="24"/>
        <v>427500</v>
      </c>
      <c r="AP50" s="171">
        <f t="shared" si="34"/>
        <v>1072500</v>
      </c>
      <c r="AQ50" s="174">
        <f t="shared" si="41"/>
        <v>3927500</v>
      </c>
      <c r="AR50" s="57">
        <f t="shared" si="26"/>
        <v>493972.5</v>
      </c>
      <c r="AY50" s="275" t="s">
        <v>76</v>
      </c>
      <c r="AZ50" s="144"/>
      <c r="BA50" s="145" t="s">
        <v>75</v>
      </c>
      <c r="BB50" s="146">
        <f t="shared" ref="BB50:BL50" si="76">BB37-BB38-BB45-BB49</f>
        <v>2890829.7438096814</v>
      </c>
      <c r="BC50" s="146">
        <f t="shared" si="76"/>
        <v>3177405.7404414271</v>
      </c>
      <c r="BD50" s="146">
        <f t="shared" si="76"/>
        <v>3548158.0896288077</v>
      </c>
      <c r="BE50" s="146">
        <f t="shared" si="76"/>
        <v>3926325.485799937</v>
      </c>
      <c r="BF50" s="146">
        <f t="shared" si="76"/>
        <v>4312056.229894489</v>
      </c>
      <c r="BG50" s="146">
        <f t="shared" si="76"/>
        <v>4705501.5888709305</v>
      </c>
      <c r="BH50" s="146">
        <f t="shared" si="76"/>
        <v>5106815.8550269008</v>
      </c>
      <c r="BI50" s="146">
        <f t="shared" si="76"/>
        <v>5516156.4065059917</v>
      </c>
      <c r="BJ50" s="146">
        <f t="shared" si="76"/>
        <v>5779094.8690146636</v>
      </c>
      <c r="BK50" s="146">
        <f>BK37-BK38-BK45-BK49</f>
        <v>6204972.778773509</v>
      </c>
      <c r="BL50" s="146">
        <f t="shared" si="76"/>
        <v>6639368.2467275318</v>
      </c>
      <c r="BM50" s="146">
        <f>BM37-BM38-BM45-BM49</f>
        <v>7082451.6240406344</v>
      </c>
      <c r="BN50" s="146">
        <f>BN37-BN38-BN45-BN49</f>
        <v>7534396.6688999999</v>
      </c>
      <c r="BO50" s="146">
        <f t="shared" ref="BO50:BX50" si="77">BO37-BO38-BO45-BO49</f>
        <v>7534396.6688999999</v>
      </c>
      <c r="BP50" s="146">
        <f t="shared" si="77"/>
        <v>7534396.6688999999</v>
      </c>
      <c r="BQ50" s="146">
        <f t="shared" si="77"/>
        <v>7534396.6688999999</v>
      </c>
      <c r="BR50" s="146">
        <f t="shared" si="77"/>
        <v>7534396.6688999999</v>
      </c>
      <c r="BS50" s="146">
        <f t="shared" si="77"/>
        <v>7534396.6688999999</v>
      </c>
      <c r="BT50" s="146">
        <f t="shared" si="77"/>
        <v>7534396.6688999999</v>
      </c>
      <c r="BU50" s="146">
        <f t="shared" si="77"/>
        <v>7534396.6688999999</v>
      </c>
      <c r="BV50" s="146">
        <f t="shared" si="77"/>
        <v>7534396.6688999999</v>
      </c>
      <c r="BW50" s="146">
        <f t="shared" si="77"/>
        <v>7534396.6688999999</v>
      </c>
      <c r="BX50" s="146">
        <f t="shared" si="77"/>
        <v>7534396.6688999999</v>
      </c>
      <c r="BY50" s="276"/>
    </row>
    <row r="51" spans="3:77" ht="17.100000000000001" customHeight="1">
      <c r="C51" s="21">
        <v>34</v>
      </c>
      <c r="D51" s="264">
        <f t="shared" si="9"/>
        <v>0.02</v>
      </c>
      <c r="E51" s="1">
        <f t="shared" si="2"/>
        <v>0</v>
      </c>
      <c r="F51" s="215">
        <f t="shared" si="10"/>
        <v>0</v>
      </c>
      <c r="G51" s="6">
        <f t="shared" si="28"/>
        <v>0</v>
      </c>
      <c r="H51" s="8">
        <f t="shared" si="11"/>
        <v>0</v>
      </c>
      <c r="I51" s="3">
        <f t="shared" si="3"/>
        <v>0</v>
      </c>
      <c r="K51" s="16">
        <f t="shared" si="4"/>
        <v>940900</v>
      </c>
      <c r="L51" s="36">
        <v>0</v>
      </c>
      <c r="M51" s="285">
        <v>0.05</v>
      </c>
      <c r="N51" s="31">
        <f t="shared" si="1"/>
        <v>188180</v>
      </c>
      <c r="O51" s="234">
        <f t="shared" si="75"/>
        <v>0.2</v>
      </c>
      <c r="P51" s="235"/>
      <c r="Q51" s="203">
        <f t="shared" si="13"/>
        <v>705675</v>
      </c>
      <c r="R51" s="1">
        <f t="shared" si="5"/>
        <v>0</v>
      </c>
      <c r="S51" s="107">
        <f t="shared" si="6"/>
        <v>0</v>
      </c>
      <c r="T51" s="99">
        <f t="shared" si="14"/>
        <v>705675</v>
      </c>
      <c r="U51" s="45">
        <f t="shared" si="7"/>
        <v>58806.25</v>
      </c>
      <c r="V51" s="102">
        <f t="shared" si="15"/>
        <v>7056750</v>
      </c>
      <c r="W51" s="23">
        <v>34</v>
      </c>
      <c r="X51" s="56">
        <f t="shared" si="8"/>
        <v>0</v>
      </c>
      <c r="Y51" s="189">
        <f>I51</f>
        <v>0</v>
      </c>
      <c r="Z51" s="189">
        <f t="shared" si="16"/>
        <v>0</v>
      </c>
      <c r="AA51" s="189">
        <f t="shared" si="17"/>
        <v>705675</v>
      </c>
      <c r="AB51" s="57">
        <f t="shared" si="18"/>
        <v>0</v>
      </c>
      <c r="AC51" s="56">
        <f t="shared" si="30"/>
        <v>705675</v>
      </c>
      <c r="AD51" s="58"/>
      <c r="AE51" s="58"/>
      <c r="AF51" s="93">
        <f t="shared" si="31"/>
        <v>5000000</v>
      </c>
      <c r="AG51" s="56">
        <f t="shared" si="19"/>
        <v>5705675</v>
      </c>
      <c r="AH51" s="164">
        <f t="shared" si="20"/>
        <v>0.3</v>
      </c>
      <c r="AI51" s="57">
        <f t="shared" si="35"/>
        <v>1711702.5</v>
      </c>
      <c r="AJ51" s="167">
        <f t="shared" si="21"/>
        <v>427500</v>
      </c>
      <c r="AK51" s="57">
        <f t="shared" si="22"/>
        <v>1284202.5</v>
      </c>
      <c r="AL51" s="57">
        <f t="shared" si="23"/>
        <v>4421472.5</v>
      </c>
      <c r="AM51" s="173">
        <f t="shared" si="32"/>
        <v>0.3</v>
      </c>
      <c r="AN51" s="174">
        <f t="shared" si="33"/>
        <v>1500000</v>
      </c>
      <c r="AO51" s="171">
        <f t="shared" si="24"/>
        <v>427500</v>
      </c>
      <c r="AP51" s="171">
        <f t="shared" si="34"/>
        <v>1072500</v>
      </c>
      <c r="AQ51" s="174">
        <f t="shared" si="41"/>
        <v>3927500</v>
      </c>
      <c r="AR51" s="57">
        <f t="shared" si="26"/>
        <v>493972.5</v>
      </c>
      <c r="AY51" s="277"/>
      <c r="AZ51" s="278"/>
      <c r="BA51" s="278"/>
    </row>
    <row r="52" spans="3:77" ht="17.100000000000001" customHeight="1">
      <c r="C52" s="22">
        <v>35</v>
      </c>
      <c r="D52" s="271">
        <f t="shared" si="9"/>
        <v>0.02</v>
      </c>
      <c r="E52" s="4">
        <f t="shared" si="2"/>
        <v>0</v>
      </c>
      <c r="F52" s="217">
        <f t="shared" si="10"/>
        <v>0</v>
      </c>
      <c r="G52" s="7">
        <f t="shared" si="28"/>
        <v>0</v>
      </c>
      <c r="H52" s="9">
        <f t="shared" si="11"/>
        <v>0</v>
      </c>
      <c r="I52" s="5">
        <f t="shared" si="3"/>
        <v>0</v>
      </c>
      <c r="K52" s="17">
        <f t="shared" si="4"/>
        <v>940900</v>
      </c>
      <c r="L52" s="38">
        <v>0</v>
      </c>
      <c r="M52" s="286">
        <v>0.05</v>
      </c>
      <c r="N52" s="33">
        <f t="shared" si="1"/>
        <v>188180</v>
      </c>
      <c r="O52" s="201">
        <f t="shared" si="75"/>
        <v>0.2</v>
      </c>
      <c r="P52" s="233"/>
      <c r="Q52" s="204">
        <f t="shared" si="13"/>
        <v>705675</v>
      </c>
      <c r="R52" s="4">
        <f t="shared" si="5"/>
        <v>0</v>
      </c>
      <c r="S52" s="109">
        <f t="shared" si="6"/>
        <v>0</v>
      </c>
      <c r="T52" s="101">
        <f t="shared" si="14"/>
        <v>705675</v>
      </c>
      <c r="U52" s="46">
        <f t="shared" si="7"/>
        <v>58806.25</v>
      </c>
      <c r="V52" s="105">
        <f t="shared" si="15"/>
        <v>7056750</v>
      </c>
      <c r="W52" s="24">
        <v>35</v>
      </c>
      <c r="X52" s="61">
        <f t="shared" si="8"/>
        <v>0</v>
      </c>
      <c r="Y52" s="191">
        <f>I52</f>
        <v>0</v>
      </c>
      <c r="Z52" s="191">
        <f t="shared" si="16"/>
        <v>0</v>
      </c>
      <c r="AA52" s="191">
        <f t="shared" si="17"/>
        <v>705675</v>
      </c>
      <c r="AB52" s="68">
        <f t="shared" si="18"/>
        <v>0</v>
      </c>
      <c r="AC52" s="61">
        <f t="shared" si="30"/>
        <v>705675</v>
      </c>
      <c r="AD52" s="62"/>
      <c r="AE52" s="62"/>
      <c r="AF52" s="114">
        <f t="shared" si="31"/>
        <v>5000000</v>
      </c>
      <c r="AG52" s="61">
        <f t="shared" si="19"/>
        <v>5705675</v>
      </c>
      <c r="AH52" s="166">
        <f t="shared" si="20"/>
        <v>0.3</v>
      </c>
      <c r="AI52" s="68">
        <f t="shared" si="35"/>
        <v>1711702.5</v>
      </c>
      <c r="AJ52" s="169">
        <f t="shared" si="21"/>
        <v>427500</v>
      </c>
      <c r="AK52" s="68">
        <f t="shared" si="22"/>
        <v>1284202.5</v>
      </c>
      <c r="AL52" s="68">
        <f t="shared" si="23"/>
        <v>4421472.5</v>
      </c>
      <c r="AM52" s="175">
        <f t="shared" si="32"/>
        <v>0.3</v>
      </c>
      <c r="AN52" s="176">
        <f t="shared" si="33"/>
        <v>1500000</v>
      </c>
      <c r="AO52" s="177">
        <f t="shared" si="24"/>
        <v>427500</v>
      </c>
      <c r="AP52" s="177">
        <f t="shared" si="34"/>
        <v>1072500</v>
      </c>
      <c r="AQ52" s="176">
        <f t="shared" si="41"/>
        <v>3927500</v>
      </c>
      <c r="AR52" s="68">
        <f t="shared" si="26"/>
        <v>493972.5</v>
      </c>
      <c r="AZ52" s="279" t="s">
        <v>111</v>
      </c>
      <c r="BA52" s="245"/>
      <c r="BB52" s="147">
        <f>BM31+AR30</f>
        <v>3243036.7507374645</v>
      </c>
      <c r="BC52" s="147">
        <f>BB52+AR31</f>
        <v>3457889.4801233537</v>
      </c>
      <c r="BD52" s="147">
        <f>BC52+AR32</f>
        <v>3556990.0133375521</v>
      </c>
      <c r="BE52" s="147">
        <f>BD52+AR33</f>
        <v>3653866.0324566266</v>
      </c>
      <c r="BF52" s="147">
        <f>BE52+AR34</f>
        <v>3748473.0471986742</v>
      </c>
      <c r="BG52" s="147">
        <f>BF52+AR35</f>
        <v>3840765.6774761546</v>
      </c>
      <c r="BH52" s="147">
        <f>BG52+AR36</f>
        <v>3930697.6355997762</v>
      </c>
      <c r="BI52" s="147">
        <f>BH52+AR37</f>
        <v>4018221.7081264621</v>
      </c>
      <c r="BJ52" s="147">
        <f>BI52+AR38</f>
        <v>4076102.4373442736</v>
      </c>
      <c r="BK52" s="147">
        <f>BJ52+AR39</f>
        <v>4131478.0023870328</v>
      </c>
      <c r="BL52" s="147">
        <f>BK52+AR40</f>
        <v>4184298.2999712392</v>
      </c>
      <c r="BM52" s="147">
        <f>BL52+AR41</f>
        <v>4234512.2247477211</v>
      </c>
      <c r="BN52" s="147">
        <f>BM52+AR42</f>
        <v>4282067.6492603244</v>
      </c>
      <c r="BO52" s="147">
        <f>BN52+A43</f>
        <v>4282067.6492603244</v>
      </c>
      <c r="BP52" s="147">
        <f>BO52+AR44</f>
        <v>4787895.3492603246</v>
      </c>
      <c r="BQ52" s="147">
        <f>BP52+AR45</f>
        <v>5293723.0492603248</v>
      </c>
      <c r="BR52" s="147">
        <f>BQ52+AR46</f>
        <v>5799550.749260325</v>
      </c>
      <c r="BS52" s="147">
        <f>BR52+AR47</f>
        <v>6305378.4492603252</v>
      </c>
      <c r="BT52" s="147">
        <f>BS52+AR48</f>
        <v>6799350.9492603252</v>
      </c>
      <c r="BU52" s="147">
        <f>BT52+AR49</f>
        <v>7293323.4492603252</v>
      </c>
      <c r="BV52" s="147">
        <f>BU52+AR50</f>
        <v>7787295.9492603252</v>
      </c>
      <c r="BW52" s="147">
        <f>BV52+AR51</f>
        <v>8281268.4492603252</v>
      </c>
      <c r="BX52" s="147">
        <f>BW52+AR52</f>
        <v>8775240.9492603242</v>
      </c>
      <c r="BY52" s="278"/>
    </row>
    <row r="53" spans="3:77">
      <c r="G53" s="1">
        <f>SUM(G18:G52)</f>
        <v>11524598.643913815</v>
      </c>
      <c r="H53" s="1"/>
      <c r="I53" s="1"/>
      <c r="R53" s="1">
        <f>SUM(R18:R52)</f>
        <v>11524598.643913815</v>
      </c>
      <c r="AY53" s="277"/>
      <c r="AZ53" s="148" t="s">
        <v>73</v>
      </c>
      <c r="BA53" s="148"/>
      <c r="BB53" s="148">
        <f>SUM(BB50:BB52)</f>
        <v>6133866.4945471454</v>
      </c>
      <c r="BC53" s="148">
        <f>SUM(BC50:BC52)</f>
        <v>6635295.2205647808</v>
      </c>
      <c r="BD53" s="148">
        <f>SUM(BD50:BD52)</f>
        <v>7105148.1029663598</v>
      </c>
      <c r="BE53" s="148">
        <f>SUM(BE50:BE52)</f>
        <v>7580191.5182565637</v>
      </c>
      <c r="BF53" s="148">
        <f>SUM(BF50:BF52)</f>
        <v>8060529.2770931628</v>
      </c>
      <c r="BG53" s="148">
        <f t="shared" ref="BG53:BX53" si="78">SUM(BG50:BG52)</f>
        <v>8546267.2663470842</v>
      </c>
      <c r="BH53" s="148">
        <f t="shared" si="78"/>
        <v>9037513.4906266779</v>
      </c>
      <c r="BI53" s="148">
        <f t="shared" si="78"/>
        <v>9534378.1146324538</v>
      </c>
      <c r="BJ53" s="148">
        <f t="shared" si="78"/>
        <v>9855197.3063589372</v>
      </c>
      <c r="BK53" s="148">
        <f t="shared" si="78"/>
        <v>10336450.781160541</v>
      </c>
      <c r="BL53" s="148">
        <f t="shared" si="78"/>
        <v>10823666.546698771</v>
      </c>
      <c r="BM53" s="148">
        <f t="shared" si="78"/>
        <v>11316963.848788355</v>
      </c>
      <c r="BN53" s="148">
        <f t="shared" si="78"/>
        <v>11816464.318160325</v>
      </c>
      <c r="BO53" s="148">
        <f t="shared" si="78"/>
        <v>11816464.318160325</v>
      </c>
      <c r="BP53" s="148">
        <f t="shared" si="78"/>
        <v>12322292.018160325</v>
      </c>
      <c r="BQ53" s="148">
        <f t="shared" si="78"/>
        <v>12828119.718160324</v>
      </c>
      <c r="BR53" s="148">
        <f t="shared" si="78"/>
        <v>13333947.418160325</v>
      </c>
      <c r="BS53" s="148">
        <f t="shared" si="78"/>
        <v>13839775.118160326</v>
      </c>
      <c r="BT53" s="148">
        <f t="shared" si="78"/>
        <v>14333747.618160326</v>
      </c>
      <c r="BU53" s="148">
        <f t="shared" si="78"/>
        <v>14827720.118160326</v>
      </c>
      <c r="BV53" s="148">
        <f t="shared" si="78"/>
        <v>15321692.618160326</v>
      </c>
      <c r="BW53" s="148">
        <f t="shared" si="78"/>
        <v>15815665.118160326</v>
      </c>
      <c r="BX53" s="148">
        <f t="shared" si="78"/>
        <v>16309637.618160324</v>
      </c>
      <c r="BY53" s="281"/>
    </row>
    <row r="54" spans="3:77">
      <c r="AZ54" s="179" t="s">
        <v>147</v>
      </c>
      <c r="BA54" s="179"/>
      <c r="BB54" s="245">
        <f>BB53-$E$10</f>
        <v>4433866.4945471454</v>
      </c>
      <c r="BC54" s="245">
        <f>BC53-$E$10</f>
        <v>4935295.2205647808</v>
      </c>
      <c r="BD54" s="245">
        <f t="shared" ref="BD54:BX54" si="79">BD53-$E$10</f>
        <v>5405148.1029663598</v>
      </c>
      <c r="BE54" s="245">
        <f t="shared" si="79"/>
        <v>5880191.5182565637</v>
      </c>
      <c r="BF54" s="245">
        <f t="shared" si="79"/>
        <v>6360529.2770931628</v>
      </c>
      <c r="BG54" s="245">
        <f t="shared" si="79"/>
        <v>6846267.2663470842</v>
      </c>
      <c r="BH54" s="245">
        <f t="shared" si="79"/>
        <v>7337513.4906266779</v>
      </c>
      <c r="BI54" s="245">
        <f t="shared" si="79"/>
        <v>7834378.1146324538</v>
      </c>
      <c r="BJ54" s="245">
        <f t="shared" si="79"/>
        <v>8155197.3063589372</v>
      </c>
      <c r="BK54" s="245">
        <f t="shared" si="79"/>
        <v>8636450.7811605409</v>
      </c>
      <c r="BL54" s="245">
        <f t="shared" si="79"/>
        <v>9123666.5466987714</v>
      </c>
      <c r="BM54" s="245">
        <f t="shared" si="79"/>
        <v>9616963.8487883545</v>
      </c>
      <c r="BN54" s="245">
        <f t="shared" si="79"/>
        <v>10116464.318160325</v>
      </c>
      <c r="BO54" s="245">
        <f t="shared" si="79"/>
        <v>10116464.318160325</v>
      </c>
      <c r="BP54" s="245">
        <f t="shared" si="79"/>
        <v>10622292.018160325</v>
      </c>
      <c r="BQ54" s="245">
        <f t="shared" si="79"/>
        <v>11128119.718160324</v>
      </c>
      <c r="BR54" s="245">
        <f t="shared" si="79"/>
        <v>11633947.418160325</v>
      </c>
      <c r="BS54" s="245">
        <f t="shared" si="79"/>
        <v>12139775.118160326</v>
      </c>
      <c r="BT54" s="245">
        <f t="shared" si="79"/>
        <v>12633747.618160326</v>
      </c>
      <c r="BU54" s="245">
        <f t="shared" si="79"/>
        <v>13127720.118160326</v>
      </c>
      <c r="BV54" s="245">
        <f t="shared" si="79"/>
        <v>13621692.618160326</v>
      </c>
      <c r="BW54" s="245">
        <f t="shared" si="79"/>
        <v>14115665.118160326</v>
      </c>
      <c r="BX54" s="245">
        <f t="shared" si="79"/>
        <v>14609637.618160324</v>
      </c>
    </row>
    <row r="55" spans="3:77">
      <c r="C55" t="s">
        <v>140</v>
      </c>
    </row>
    <row r="58" spans="3:77">
      <c r="C58" t="s">
        <v>131</v>
      </c>
      <c r="F58"/>
      <c r="S58" s="39"/>
      <c r="T58"/>
      <c r="AH58" s="39"/>
      <c r="AR58"/>
      <c r="AV58" s="39"/>
      <c r="AW58"/>
      <c r="AX58" s="117"/>
      <c r="AY58"/>
    </row>
    <row r="59" spans="3:77">
      <c r="C59" s="194" t="s">
        <v>132</v>
      </c>
      <c r="D59" s="229">
        <f>+BB15</f>
        <v>44896</v>
      </c>
      <c r="E59" s="229">
        <f>+BC15</f>
        <v>45261</v>
      </c>
      <c r="F59" s="229">
        <f t="shared" ref="F59:O59" si="80">+BD15</f>
        <v>45627</v>
      </c>
      <c r="G59" s="229">
        <f t="shared" si="80"/>
        <v>45992</v>
      </c>
      <c r="H59" s="229">
        <f t="shared" si="80"/>
        <v>46357</v>
      </c>
      <c r="I59" s="229">
        <f t="shared" si="80"/>
        <v>46722</v>
      </c>
      <c r="J59" s="229">
        <f t="shared" si="80"/>
        <v>47088</v>
      </c>
      <c r="K59" s="229">
        <f t="shared" si="80"/>
        <v>47453</v>
      </c>
      <c r="L59" s="229">
        <f t="shared" si="80"/>
        <v>47818</v>
      </c>
      <c r="M59" s="229">
        <f t="shared" si="80"/>
        <v>48183</v>
      </c>
      <c r="N59" s="229">
        <f t="shared" si="80"/>
        <v>48549</v>
      </c>
      <c r="O59" s="229">
        <f t="shared" si="80"/>
        <v>48914</v>
      </c>
      <c r="P59" s="229">
        <f>+BB36</f>
        <v>49279</v>
      </c>
      <c r="Q59" s="229">
        <f t="shared" ref="Q59:AK59" si="81">+BC36</f>
        <v>49644</v>
      </c>
      <c r="R59" s="229">
        <f t="shared" si="81"/>
        <v>50010</v>
      </c>
      <c r="S59" s="229">
        <f t="shared" si="81"/>
        <v>50375</v>
      </c>
      <c r="T59" s="229">
        <f t="shared" si="81"/>
        <v>50740</v>
      </c>
      <c r="U59" s="229">
        <f t="shared" si="81"/>
        <v>51105</v>
      </c>
      <c r="V59" s="229">
        <f t="shared" si="81"/>
        <v>51471</v>
      </c>
      <c r="W59" s="229">
        <f t="shared" si="81"/>
        <v>51836</v>
      </c>
      <c r="X59" s="229">
        <f t="shared" si="81"/>
        <v>52201</v>
      </c>
      <c r="Y59" s="229">
        <f t="shared" si="81"/>
        <v>52566</v>
      </c>
      <c r="Z59" s="229">
        <f t="shared" si="81"/>
        <v>52932</v>
      </c>
      <c r="AA59" s="229">
        <f t="shared" si="81"/>
        <v>53297</v>
      </c>
      <c r="AB59" s="229">
        <f t="shared" si="81"/>
        <v>53662</v>
      </c>
      <c r="AC59" s="229">
        <f t="shared" si="81"/>
        <v>54027</v>
      </c>
      <c r="AD59" s="229">
        <f t="shared" si="81"/>
        <v>54393</v>
      </c>
      <c r="AE59" s="229">
        <f t="shared" si="81"/>
        <v>54758</v>
      </c>
      <c r="AF59" s="229">
        <f t="shared" si="81"/>
        <v>55123</v>
      </c>
      <c r="AG59" s="229">
        <f t="shared" si="81"/>
        <v>55488</v>
      </c>
      <c r="AH59" s="229">
        <f t="shared" si="81"/>
        <v>55854</v>
      </c>
      <c r="AI59" s="229">
        <f t="shared" si="81"/>
        <v>56219</v>
      </c>
      <c r="AJ59" s="229">
        <f t="shared" si="81"/>
        <v>56584</v>
      </c>
      <c r="AK59" s="229">
        <f t="shared" si="81"/>
        <v>56949</v>
      </c>
      <c r="AL59" s="196"/>
      <c r="AM59" s="196"/>
      <c r="AN59" s="196"/>
      <c r="AO59" s="196"/>
      <c r="AP59" s="196"/>
      <c r="AQ59" s="196"/>
      <c r="AR59" s="196"/>
      <c r="AU59" s="39"/>
      <c r="AW59" s="117"/>
      <c r="AY59"/>
    </row>
    <row r="60" spans="3:77">
      <c r="C60" t="s">
        <v>73</v>
      </c>
      <c r="D60" s="231">
        <f>+BB32</f>
        <v>289571.29999999981</v>
      </c>
      <c r="E60" s="231">
        <f>+BC32</f>
        <v>841076.37524059042</v>
      </c>
      <c r="F60" s="231">
        <f t="shared" ref="F60:O60" si="82">+BD32</f>
        <v>1396593.9012265857</v>
      </c>
      <c r="G60" s="231">
        <f t="shared" si="82"/>
        <v>1854638.7777728923</v>
      </c>
      <c r="H60" s="231">
        <f t="shared" si="82"/>
        <v>2268395.869974717</v>
      </c>
      <c r="I60" s="231">
        <f t="shared" si="82"/>
        <v>2882154.2389071705</v>
      </c>
      <c r="J60" s="231">
        <f t="shared" si="82"/>
        <v>3377633.5703168637</v>
      </c>
      <c r="K60" s="231">
        <f t="shared" si="82"/>
        <v>3877542.9715683432</v>
      </c>
      <c r="L60" s="231">
        <f t="shared" si="82"/>
        <v>4381971.044058444</v>
      </c>
      <c r="M60" s="231">
        <f t="shared" si="82"/>
        <v>4891008.1612119377</v>
      </c>
      <c r="N60" s="231">
        <f t="shared" si="82"/>
        <v>5145878.153922094</v>
      </c>
      <c r="O60" s="231">
        <f t="shared" si="82"/>
        <v>5637426.7467000447</v>
      </c>
      <c r="P60" s="230">
        <f>+BB53</f>
        <v>6133866.4945471454</v>
      </c>
      <c r="Q60" s="230">
        <f t="shared" ref="Q60:AK60" si="83">+BC53</f>
        <v>6635295.2205647808</v>
      </c>
      <c r="R60" s="230">
        <f t="shared" si="83"/>
        <v>7105148.1029663598</v>
      </c>
      <c r="S60" s="230">
        <f t="shared" si="83"/>
        <v>7580191.5182565637</v>
      </c>
      <c r="T60" s="230">
        <f t="shared" si="83"/>
        <v>8060529.2770931628</v>
      </c>
      <c r="U60" s="230">
        <f t="shared" si="83"/>
        <v>8546267.2663470842</v>
      </c>
      <c r="V60" s="230">
        <f t="shared" si="83"/>
        <v>9037513.4906266779</v>
      </c>
      <c r="W60" s="230">
        <f t="shared" si="83"/>
        <v>9534378.1146324538</v>
      </c>
      <c r="X60" s="230">
        <f t="shared" si="83"/>
        <v>9855197.3063589372</v>
      </c>
      <c r="Y60" s="230">
        <f t="shared" si="83"/>
        <v>10336450.781160541</v>
      </c>
      <c r="Z60" s="230">
        <f t="shared" si="83"/>
        <v>10823666.546698771</v>
      </c>
      <c r="AA60" s="230">
        <f t="shared" si="83"/>
        <v>11316963.848788355</v>
      </c>
      <c r="AB60" s="230">
        <f t="shared" si="83"/>
        <v>11816464.318160325</v>
      </c>
      <c r="AC60" s="230">
        <f t="shared" si="83"/>
        <v>11816464.318160325</v>
      </c>
      <c r="AD60" s="230">
        <f t="shared" si="83"/>
        <v>12322292.018160325</v>
      </c>
      <c r="AE60" s="230">
        <f t="shared" si="83"/>
        <v>12828119.718160324</v>
      </c>
      <c r="AF60" s="230">
        <f t="shared" si="83"/>
        <v>13333947.418160325</v>
      </c>
      <c r="AG60" s="230">
        <f t="shared" si="83"/>
        <v>13839775.118160326</v>
      </c>
      <c r="AH60" s="230">
        <f t="shared" si="83"/>
        <v>14333747.618160326</v>
      </c>
      <c r="AI60" s="230">
        <f t="shared" si="83"/>
        <v>14827720.118160326</v>
      </c>
      <c r="AJ60" s="230">
        <f t="shared" si="83"/>
        <v>15321692.618160326</v>
      </c>
      <c r="AK60" s="230">
        <f t="shared" si="83"/>
        <v>15815665.118160326</v>
      </c>
      <c r="AL60" s="197"/>
      <c r="AM60" s="197"/>
      <c r="AN60" s="197"/>
      <c r="AO60" s="197"/>
      <c r="AP60" s="197"/>
      <c r="AQ60" s="197"/>
      <c r="AR60" s="197"/>
      <c r="AU60" s="39"/>
      <c r="AW60" s="117"/>
      <c r="AY60"/>
    </row>
    <row r="61" spans="3:77">
      <c r="C61" t="s">
        <v>133</v>
      </c>
      <c r="D61" s="232">
        <f t="shared" ref="D61:AK61" si="84">IF(+D60-$E$10&gt;=0,0,D60-$E$10)</f>
        <v>-1410428.7000000002</v>
      </c>
      <c r="E61" s="232">
        <f>IF(+E60-$E$10&gt;=0,0,E60-$E$10)</f>
        <v>-858923.62475940958</v>
      </c>
      <c r="F61" s="232">
        <f t="shared" si="84"/>
        <v>-303406.09877341427</v>
      </c>
      <c r="G61" s="232">
        <f t="shared" si="84"/>
        <v>0</v>
      </c>
      <c r="H61" s="232">
        <f t="shared" si="84"/>
        <v>0</v>
      </c>
      <c r="I61" s="232">
        <f t="shared" si="84"/>
        <v>0</v>
      </c>
      <c r="J61" s="232">
        <f t="shared" si="84"/>
        <v>0</v>
      </c>
      <c r="K61" s="232">
        <f t="shared" si="84"/>
        <v>0</v>
      </c>
      <c r="L61" s="232">
        <f t="shared" si="84"/>
        <v>0</v>
      </c>
      <c r="M61" s="232">
        <f t="shared" si="84"/>
        <v>0</v>
      </c>
      <c r="N61" s="232">
        <f t="shared" si="84"/>
        <v>0</v>
      </c>
      <c r="O61" s="232">
        <f t="shared" si="84"/>
        <v>0</v>
      </c>
      <c r="P61" s="197">
        <f t="shared" si="84"/>
        <v>0</v>
      </c>
      <c r="Q61" s="197">
        <f t="shared" si="84"/>
        <v>0</v>
      </c>
      <c r="R61" s="197">
        <f t="shared" si="84"/>
        <v>0</v>
      </c>
      <c r="S61" s="197">
        <f t="shared" si="84"/>
        <v>0</v>
      </c>
      <c r="T61" s="197">
        <f t="shared" si="84"/>
        <v>0</v>
      </c>
      <c r="U61" s="197">
        <f t="shared" si="84"/>
        <v>0</v>
      </c>
      <c r="V61" s="197">
        <f t="shared" si="84"/>
        <v>0</v>
      </c>
      <c r="W61" s="197">
        <f t="shared" si="84"/>
        <v>0</v>
      </c>
      <c r="X61" s="197">
        <f t="shared" si="84"/>
        <v>0</v>
      </c>
      <c r="Y61" s="197">
        <f t="shared" si="84"/>
        <v>0</v>
      </c>
      <c r="Z61" s="197">
        <f t="shared" si="84"/>
        <v>0</v>
      </c>
      <c r="AA61" s="197">
        <f t="shared" si="84"/>
        <v>0</v>
      </c>
      <c r="AB61" s="197">
        <f t="shared" si="84"/>
        <v>0</v>
      </c>
      <c r="AC61" s="197">
        <f t="shared" si="84"/>
        <v>0</v>
      </c>
      <c r="AD61" s="197">
        <f t="shared" si="84"/>
        <v>0</v>
      </c>
      <c r="AE61" s="197">
        <f t="shared" si="84"/>
        <v>0</v>
      </c>
      <c r="AF61" s="197">
        <f t="shared" si="84"/>
        <v>0</v>
      </c>
      <c r="AG61" s="197">
        <f t="shared" si="84"/>
        <v>0</v>
      </c>
      <c r="AH61" s="197">
        <f t="shared" si="84"/>
        <v>0</v>
      </c>
      <c r="AI61" s="197">
        <f t="shared" si="84"/>
        <v>0</v>
      </c>
      <c r="AJ61" s="197">
        <f t="shared" si="84"/>
        <v>0</v>
      </c>
      <c r="AK61" s="197">
        <f t="shared" si="84"/>
        <v>0</v>
      </c>
      <c r="AL61" s="195"/>
      <c r="AM61" s="195"/>
      <c r="AN61" s="195"/>
      <c r="AO61" s="195"/>
      <c r="AP61" s="195"/>
      <c r="AQ61" s="195"/>
      <c r="AR61" s="195"/>
      <c r="AU61" s="39"/>
      <c r="AW61" s="117"/>
      <c r="AY61"/>
    </row>
    <row r="62" spans="3:77">
      <c r="D62" s="225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7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/>
      <c r="AM62"/>
      <c r="AN62"/>
      <c r="AO62"/>
      <c r="AP62"/>
      <c r="AQ62"/>
      <c r="AR62"/>
      <c r="AU62" s="39"/>
      <c r="AW62" s="117"/>
      <c r="AY62"/>
    </row>
    <row r="63" spans="3:77">
      <c r="C63" t="s">
        <v>134</v>
      </c>
      <c r="D63" s="225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7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/>
      <c r="AM63"/>
      <c r="AN63"/>
      <c r="AO63"/>
      <c r="AP63"/>
      <c r="AQ63"/>
      <c r="AR63"/>
      <c r="AU63" s="39"/>
      <c r="AW63" s="117"/>
      <c r="AY63"/>
    </row>
    <row r="64" spans="3:77">
      <c r="C64" t="s">
        <v>135</v>
      </c>
      <c r="D64" s="230">
        <f>+BB17</f>
        <v>8719016.0542434473</v>
      </c>
      <c r="E64" s="230">
        <f>+BC17</f>
        <v>8432412.4295717645</v>
      </c>
      <c r="F64" s="230">
        <f t="shared" ref="F64:O64" si="85">+BD17</f>
        <v>8140076.7324066469</v>
      </c>
      <c r="G64" s="230">
        <f t="shared" si="85"/>
        <v>7841894.3212982276</v>
      </c>
      <c r="H64" s="230">
        <f t="shared" si="85"/>
        <v>7537748.2619676394</v>
      </c>
      <c r="I64" s="230">
        <f t="shared" si="85"/>
        <v>7227519.2814504392</v>
      </c>
      <c r="J64" s="230">
        <f t="shared" si="85"/>
        <v>6911085.721322896</v>
      </c>
      <c r="K64" s="230">
        <f t="shared" si="85"/>
        <v>6588323.4899928011</v>
      </c>
      <c r="L64" s="230">
        <f t="shared" si="85"/>
        <v>6259106.014036105</v>
      </c>
      <c r="M64" s="230">
        <f t="shared" si="85"/>
        <v>5923304.1885602744</v>
      </c>
      <c r="N64" s="230">
        <f t="shared" si="85"/>
        <v>5580786.3265749272</v>
      </c>
      <c r="O64" s="230">
        <f t="shared" si="85"/>
        <v>5231418.1073498735</v>
      </c>
      <c r="P64" s="230">
        <f>+BB38</f>
        <v>4875062.5237403186</v>
      </c>
      <c r="Q64" s="230">
        <f t="shared" ref="Q64:AK64" si="86">+BC38</f>
        <v>4511579.8284585727</v>
      </c>
      <c r="R64" s="230">
        <f t="shared" si="86"/>
        <v>4140827.4792711916</v>
      </c>
      <c r="S64" s="230">
        <f t="shared" si="86"/>
        <v>3762660.0831000628</v>
      </c>
      <c r="T64" s="230">
        <f t="shared" si="86"/>
        <v>3376929.3390055117</v>
      </c>
      <c r="U64" s="230">
        <f t="shared" si="86"/>
        <v>2983483.9800290698</v>
      </c>
      <c r="V64" s="230">
        <f t="shared" si="86"/>
        <v>2582169.7138730991</v>
      </c>
      <c r="W64" s="230">
        <f t="shared" si="86"/>
        <v>2172829.1623940086</v>
      </c>
      <c r="X64" s="230">
        <f t="shared" si="86"/>
        <v>1755301.7998853363</v>
      </c>
      <c r="Y64" s="230">
        <f t="shared" si="86"/>
        <v>1329423.8901264907</v>
      </c>
      <c r="Z64" s="230">
        <f t="shared" si="86"/>
        <v>895028.42217246816</v>
      </c>
      <c r="AA64" s="230">
        <f t="shared" si="86"/>
        <v>451945.04485936515</v>
      </c>
      <c r="AB64" s="230">
        <f t="shared" si="86"/>
        <v>0</v>
      </c>
      <c r="AC64" s="230">
        <f t="shared" si="86"/>
        <v>0</v>
      </c>
      <c r="AD64" s="230">
        <f t="shared" si="86"/>
        <v>0</v>
      </c>
      <c r="AE64" s="230">
        <f t="shared" si="86"/>
        <v>0</v>
      </c>
      <c r="AF64" s="230">
        <f t="shared" si="86"/>
        <v>0</v>
      </c>
      <c r="AG64" s="230">
        <f t="shared" si="86"/>
        <v>0</v>
      </c>
      <c r="AH64" s="230">
        <f t="shared" si="86"/>
        <v>0</v>
      </c>
      <c r="AI64" s="230">
        <f t="shared" si="86"/>
        <v>0</v>
      </c>
      <c r="AJ64" s="230">
        <f t="shared" si="86"/>
        <v>0</v>
      </c>
      <c r="AK64" s="230">
        <f t="shared" si="86"/>
        <v>0</v>
      </c>
      <c r="AL64" s="195"/>
      <c r="AM64" s="195"/>
      <c r="AN64" s="195"/>
      <c r="AO64" s="195"/>
      <c r="AP64" s="195"/>
      <c r="AQ64" s="195"/>
      <c r="AR64" s="195"/>
      <c r="AU64" s="39"/>
      <c r="AW64" s="117"/>
      <c r="AY64"/>
    </row>
    <row r="65" spans="3:51">
      <c r="C65" t="s">
        <v>133</v>
      </c>
      <c r="D65" s="228">
        <f>IF($K$10-D64&gt;=0,0,$K$10-D64)</f>
        <v>0</v>
      </c>
      <c r="E65" s="228">
        <f t="shared" ref="E65:AK65" si="87">IF($K$10-E64&gt;=0,0,$K$10-E64)</f>
        <v>0</v>
      </c>
      <c r="F65" s="228">
        <f t="shared" si="87"/>
        <v>0</v>
      </c>
      <c r="G65" s="228">
        <f t="shared" si="87"/>
        <v>0</v>
      </c>
      <c r="H65" s="228">
        <f t="shared" si="87"/>
        <v>0</v>
      </c>
      <c r="I65" s="228">
        <f t="shared" si="87"/>
        <v>0</v>
      </c>
      <c r="J65" s="228">
        <f t="shared" si="87"/>
        <v>0</v>
      </c>
      <c r="K65" s="228">
        <f t="shared" si="87"/>
        <v>0</v>
      </c>
      <c r="L65" s="228">
        <f t="shared" si="87"/>
        <v>0</v>
      </c>
      <c r="M65" s="228">
        <f t="shared" si="87"/>
        <v>0</v>
      </c>
      <c r="N65" s="228">
        <f t="shared" si="87"/>
        <v>0</v>
      </c>
      <c r="O65" s="228">
        <f t="shared" si="87"/>
        <v>0</v>
      </c>
      <c r="P65" s="228">
        <f>IF($K$10-P64&gt;=0,0,$K$10-P64)</f>
        <v>0</v>
      </c>
      <c r="Q65" s="228">
        <f t="shared" si="87"/>
        <v>0</v>
      </c>
      <c r="R65" s="228">
        <f t="shared" si="87"/>
        <v>0</v>
      </c>
      <c r="S65" s="228">
        <f t="shared" si="87"/>
        <v>0</v>
      </c>
      <c r="T65" s="228">
        <f t="shared" si="87"/>
        <v>0</v>
      </c>
      <c r="U65" s="228">
        <f t="shared" si="87"/>
        <v>0</v>
      </c>
      <c r="V65" s="228">
        <f t="shared" si="87"/>
        <v>0</v>
      </c>
      <c r="W65" s="228">
        <f t="shared" si="87"/>
        <v>0</v>
      </c>
      <c r="X65" s="228">
        <f t="shared" si="87"/>
        <v>0</v>
      </c>
      <c r="Y65" s="228">
        <f t="shared" si="87"/>
        <v>0</v>
      </c>
      <c r="Z65" s="228">
        <f t="shared" si="87"/>
        <v>0</v>
      </c>
      <c r="AA65" s="228">
        <f t="shared" si="87"/>
        <v>0</v>
      </c>
      <c r="AB65" s="228">
        <f t="shared" si="87"/>
        <v>0</v>
      </c>
      <c r="AC65" s="228">
        <f t="shared" si="87"/>
        <v>0</v>
      </c>
      <c r="AD65" s="228">
        <f t="shared" si="87"/>
        <v>0</v>
      </c>
      <c r="AE65" s="228">
        <f t="shared" si="87"/>
        <v>0</v>
      </c>
      <c r="AF65" s="228">
        <f t="shared" si="87"/>
        <v>0</v>
      </c>
      <c r="AG65" s="228">
        <f t="shared" si="87"/>
        <v>0</v>
      </c>
      <c r="AH65" s="228">
        <f t="shared" si="87"/>
        <v>0</v>
      </c>
      <c r="AI65" s="228">
        <f t="shared" si="87"/>
        <v>0</v>
      </c>
      <c r="AJ65" s="228">
        <f t="shared" si="87"/>
        <v>0</v>
      </c>
      <c r="AK65" s="228">
        <f t="shared" si="87"/>
        <v>0</v>
      </c>
      <c r="AL65" s="198"/>
      <c r="AM65" s="198"/>
      <c r="AN65" s="198"/>
      <c r="AO65" s="198"/>
      <c r="AP65" s="198"/>
      <c r="AQ65" s="198"/>
      <c r="AR65" s="198"/>
      <c r="AU65" s="39"/>
      <c r="AW65" s="117"/>
      <c r="AY65"/>
    </row>
    <row r="66" spans="3:51">
      <c r="F66"/>
      <c r="R66" s="39"/>
      <c r="T66"/>
      <c r="AG66" s="39"/>
      <c r="AH66" s="39"/>
      <c r="AQ66"/>
      <c r="AR66"/>
      <c r="AU66" s="39"/>
      <c r="AW66" s="117"/>
      <c r="AY66"/>
    </row>
    <row r="67" spans="3:51">
      <c r="C67" t="s">
        <v>137</v>
      </c>
      <c r="D67" s="47" t="s">
        <v>138</v>
      </c>
      <c r="E67" s="47"/>
      <c r="F67"/>
      <c r="S67" s="39"/>
      <c r="T67"/>
      <c r="AH67" s="39"/>
      <c r="AR67"/>
      <c r="AV67" s="39"/>
      <c r="AW67"/>
      <c r="AX67" s="117"/>
      <c r="AY67"/>
    </row>
    <row r="68" spans="3:51">
      <c r="C68" s="69" t="s">
        <v>115</v>
      </c>
      <c r="D68" s="200">
        <v>0.15</v>
      </c>
      <c r="E68" s="200"/>
      <c r="F68"/>
      <c r="S68" s="39"/>
      <c r="T68"/>
      <c r="AH68" s="39"/>
      <c r="AR68"/>
      <c r="AV68" s="39"/>
      <c r="AW68"/>
      <c r="AX68" s="117"/>
      <c r="AY68"/>
    </row>
    <row r="69" spans="3:51">
      <c r="C69" s="69" t="s">
        <v>116</v>
      </c>
      <c r="D69" s="200">
        <v>0.15</v>
      </c>
      <c r="E69" s="200"/>
      <c r="F69"/>
      <c r="S69" s="39"/>
      <c r="T69"/>
      <c r="AH69" s="39"/>
      <c r="AR69"/>
      <c r="AV69" s="39"/>
      <c r="AW69"/>
      <c r="AX69" s="117"/>
      <c r="AY69"/>
    </row>
    <row r="70" spans="3:51">
      <c r="C70" s="69" t="s">
        <v>117</v>
      </c>
      <c r="D70" s="200">
        <v>0.2</v>
      </c>
      <c r="E70" s="200"/>
      <c r="F70"/>
      <c r="S70" s="39"/>
      <c r="T70"/>
      <c r="AH70" s="39"/>
      <c r="AR70"/>
      <c r="AV70" s="39"/>
      <c r="AW70"/>
      <c r="AX70" s="117"/>
      <c r="AY70"/>
    </row>
    <row r="71" spans="3:51">
      <c r="C71" s="69" t="s">
        <v>118</v>
      </c>
      <c r="D71" s="200">
        <v>0.25</v>
      </c>
      <c r="E71" s="200"/>
      <c r="F71"/>
      <c r="S71" s="39"/>
      <c r="T71"/>
      <c r="AH71" s="39"/>
      <c r="AR71"/>
      <c r="AV71" s="39"/>
      <c r="AW71"/>
      <c r="AX71" s="117"/>
      <c r="AY71"/>
    </row>
    <row r="72" spans="3:51">
      <c r="E72" s="47"/>
      <c r="F72"/>
      <c r="S72" s="39"/>
      <c r="T72"/>
      <c r="AH72" s="39"/>
      <c r="AR72"/>
      <c r="AV72" s="39"/>
      <c r="AW72"/>
      <c r="AX72" s="117"/>
      <c r="AY72"/>
    </row>
    <row r="73" spans="3:51">
      <c r="F73"/>
      <c r="S73" s="39"/>
      <c r="T73"/>
      <c r="AH73" s="39"/>
      <c r="AR73"/>
      <c r="AV73" s="39"/>
      <c r="AW73"/>
      <c r="AX73" s="117"/>
      <c r="AY73"/>
    </row>
  </sheetData>
  <mergeCells count="42">
    <mergeCell ref="A3:A19"/>
    <mergeCell ref="L11:M11"/>
    <mergeCell ref="L12:M13"/>
    <mergeCell ref="C14:C16"/>
    <mergeCell ref="D14:D16"/>
    <mergeCell ref="E14:E16"/>
    <mergeCell ref="K14:K16"/>
    <mergeCell ref="L14:L16"/>
    <mergeCell ref="M14:M16"/>
    <mergeCell ref="AF14:AF17"/>
    <mergeCell ref="N14:N16"/>
    <mergeCell ref="O14:O16"/>
    <mergeCell ref="Q14:Q16"/>
    <mergeCell ref="R14:R16"/>
    <mergeCell ref="T14:T16"/>
    <mergeCell ref="U14:U16"/>
    <mergeCell ref="V14:V17"/>
    <mergeCell ref="W14:W16"/>
    <mergeCell ref="X14:AC16"/>
    <mergeCell ref="AD14:AD17"/>
    <mergeCell ref="AE14:AE17"/>
    <mergeCell ref="AH14:AH17"/>
    <mergeCell ref="AI14:AI17"/>
    <mergeCell ref="AJ14:AJ17"/>
    <mergeCell ref="AK14:AK17"/>
    <mergeCell ref="AL14:AL17"/>
    <mergeCell ref="CB21:CB23"/>
    <mergeCell ref="CA31:CA32"/>
    <mergeCell ref="CB31:CB32"/>
    <mergeCell ref="AT14:AU14"/>
    <mergeCell ref="F15:F16"/>
    <mergeCell ref="G15:G16"/>
    <mergeCell ref="S15:S16"/>
    <mergeCell ref="CA15:CA16"/>
    <mergeCell ref="CB18:CB19"/>
    <mergeCell ref="AM14:AM17"/>
    <mergeCell ref="AN14:AN17"/>
    <mergeCell ref="AO14:AO17"/>
    <mergeCell ref="AP14:AP17"/>
    <mergeCell ref="AQ14:AQ17"/>
    <mergeCell ref="AR14:AR17"/>
    <mergeCell ref="AG14:AG17"/>
  </mergeCells>
  <phoneticPr fontId="1"/>
  <dataValidations count="2">
    <dataValidation type="list" allowBlank="1" showInputMessage="1" showErrorMessage="1" sqref="R7" xr:uid="{3D48082D-37CA-4539-8409-28E81634FF21}">
      <formula1>"区分マンション,　"</formula1>
    </dataValidation>
    <dataValidation type="list" allowBlank="1" showInputMessage="1" showErrorMessage="1" sqref="Q7" xr:uid="{C07EA876-209A-4F80-B57C-1BA1E997F0DA}">
      <formula1>$S$4:$S$7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0" orientation="landscape" r:id="rId1"/>
  <colBreaks count="2" manualBreakCount="2">
    <brk id="22" min="1" max="54" man="1"/>
    <brk id="49" min="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個人シミュレーション </vt:lpstr>
      <vt:lpstr>'個人シミュレーション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user178</dc:creator>
  <cp:lastModifiedBy>本郷弘樹</cp:lastModifiedBy>
  <cp:lastPrinted>2020-02-15T01:27:59Z</cp:lastPrinted>
  <dcterms:created xsi:type="dcterms:W3CDTF">2013-07-30T07:18:36Z</dcterms:created>
  <dcterms:modified xsi:type="dcterms:W3CDTF">2025-06-03T06:52:32Z</dcterms:modified>
</cp:coreProperties>
</file>